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215" activeTab="2"/>
  </bookViews>
  <sheets>
    <sheet name="หน้า 1" sheetId="1" r:id="rId1"/>
    <sheet name="หน้า 2 " sheetId="2" r:id="rId2"/>
    <sheet name="หมายเหตุประกอบ 1 " sheetId="3" r:id="rId3"/>
    <sheet name="หมายเหตุประกอบ 1  (ก.พ.53)" sheetId="4" r:id="rId4"/>
  </sheets>
  <externalReferences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_xlnm.Print_Area" localSheetId="0">'หน้า 1'!$A$1:$E$42</definedName>
    <definedName name="_xlnm.Print_Area" localSheetId="1">'หน้า 2 '!$A$1:$F$44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24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ใบผ่านรายการมาตรฐาน/ทั่วไป ด้าน Cr.</t>
        </r>
      </text>
    </comment>
  </commentList>
</comments>
</file>

<file path=xl/sharedStrings.xml><?xml version="1.0" encoding="utf-8"?>
<sst xmlns="http://schemas.openxmlformats.org/spreadsheetml/2006/main" count="337" uniqueCount="177">
  <si>
    <t>รายงานรับ - จ่ายเงินสด</t>
  </si>
  <si>
    <t>องค์การบริหารส่วนตำบลแม่จัน</t>
  </si>
  <si>
    <t>อำเภอแม่จัน  จังหวัดเชียงราย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</si>
  <si>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</si>
  <si>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</si>
  <si>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</si>
  <si>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</si>
  <si>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</si>
  <si>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เกิดขึ้นจริง</t>
  </si>
  <si>
    <t>บัญชี</t>
  </si>
  <si>
    <t>บาท</t>
  </si>
  <si>
    <t xml:space="preserve">   ยอดยกมา</t>
  </si>
  <si>
    <t xml:space="preserve"> </t>
  </si>
  <si>
    <t xml:space="preserve">   ภาษีอากร</t>
  </si>
  <si>
    <t>0100</t>
  </si>
  <si>
    <t xml:space="preserve">   ค่าธรรมเนียม ค่าปรับและใบอนุญาต</t>
  </si>
  <si>
    <t>0120</t>
  </si>
  <si>
    <t xml:space="preserve">   รายได้จากทรัพย์สิน</t>
  </si>
  <si>
    <t>0200</t>
  </si>
  <si>
    <t xml:space="preserve">   รายได้เบ็ดเตล็ด</t>
  </si>
  <si>
    <t>0250</t>
  </si>
  <si>
    <t xml:space="preserve">   ภาษีจัดสรร</t>
  </si>
  <si>
    <t>0300</t>
  </si>
  <si>
    <t xml:space="preserve">   เงินอุดหนุนทั่วไปกระจายอำนาจ</t>
  </si>
  <si>
    <t>2003</t>
  </si>
  <si>
    <t>รายได้ไม่รวมเงินอุดหนุน</t>
  </si>
  <si>
    <t>รายได้จัดเก็บเอง</t>
  </si>
  <si>
    <t xml:space="preserve">   รับฝาก (หมายเหตุ 2)</t>
  </si>
  <si>
    <t>รายจ่ายค้างจ่าย (กันเงิน)</t>
  </si>
  <si>
    <t>600</t>
  </si>
  <si>
    <t>รายจ่ายรอจ่าย</t>
  </si>
  <si>
    <t>เงินสะสม</t>
  </si>
  <si>
    <t>700</t>
  </si>
  <si>
    <t>เงินมัดจำประกันสัญญา</t>
  </si>
  <si>
    <t>902</t>
  </si>
  <si>
    <t>เงินภาษีหัก ณ ที่จ่าย</t>
  </si>
  <si>
    <t>904</t>
  </si>
  <si>
    <t>เงินค่าใช้จ่าย ภบท. 5%</t>
  </si>
  <si>
    <t>906</t>
  </si>
  <si>
    <t>เงินส่วนลด ภบท. 6%</t>
  </si>
  <si>
    <t>907</t>
  </si>
  <si>
    <t>เงินรางวัลนำจับ</t>
  </si>
  <si>
    <t>900</t>
  </si>
  <si>
    <t>เงินกู้ธนาคารออมสิน</t>
  </si>
  <si>
    <t>เงินสหกรณ์ออมทรัพย์กรมส่งเสริมฯ</t>
  </si>
  <si>
    <t>เงินกู้ธนาคารกรุงไทย</t>
  </si>
  <si>
    <t>เงินกู้ธนาคาร ธกส.</t>
  </si>
  <si>
    <t>เงินอุดหนุนศูนย์จัดซื้อจัดจ้างฯ</t>
  </si>
  <si>
    <t>เงินยืมงบประมาณ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</si>
  <si>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</si>
  <si>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</si>
  <si>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</si>
  <si>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</si>
  <si>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</si>
  <si>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</si>
  <si>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</si>
  <si>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</si>
  <si>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</si>
  <si>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</si>
  <si>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</si>
  <si>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</si>
  <si>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</si>
  <si>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</si>
  <si>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</si>
  <si>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</si>
  <si>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</si>
  <si>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</si>
  <si>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</si>
  <si>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</si>
  <si>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</si>
  <si>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</si>
  <si>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</si>
  <si>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090</t>
  </si>
  <si>
    <t>เงินยืมสะสม</t>
  </si>
  <si>
    <t>704</t>
  </si>
  <si>
    <t>เงินรับฝาก - เงินกู้ธนาคารออมสิน</t>
  </si>
  <si>
    <t>เงินรับฝาก - สหกรณ์ออมทรัพย์กรมส่งเสริมฯ</t>
  </si>
  <si>
    <t>เงินรับฝาก - เงินกู้ธนาคารกรุงไทย</t>
  </si>
  <si>
    <t>เงินรับฝาก - เงินกู้ธนาคาร ธกส.</t>
  </si>
  <si>
    <t>รวมรายจ่าย</t>
  </si>
  <si>
    <t>สูงกว่า</t>
  </si>
  <si>
    <t>รายรับ                                                รายจ่าย</t>
  </si>
  <si>
    <t>(ต่ำกว่า)</t>
  </si>
  <si>
    <t>ยอดยกไป</t>
  </si>
  <si>
    <t>(ลงชื่อ) ...............................................</t>
  </si>
  <si>
    <t>(ลงชื่อ) .............................................................</t>
  </si>
  <si>
    <t>(ลงชื่อ) ..................................................</t>
  </si>
  <si>
    <t xml:space="preserve">           (นางสาวสุรีรัตน์  ชุ่มมงคล)</t>
  </si>
  <si>
    <t xml:space="preserve">           (นางนงค์รักษ์    ขันทะ)</t>
  </si>
  <si>
    <t xml:space="preserve">         หัวหน้าส่วนการคลัง</t>
  </si>
  <si>
    <t>นายกองค์การบริหารส่วนตำบลแม่จัน</t>
  </si>
  <si>
    <t xml:space="preserve">       ( นายสายัณย์    ขัติยะ )</t>
  </si>
  <si>
    <t>เงินอุดหนุน-โครงการบริหารงานแบบพันธมิตรฯ</t>
  </si>
  <si>
    <t>เงินทุนหมุนเวียนโครงการส่งเสริมอาชีพ</t>
  </si>
  <si>
    <t>เงินอุดหนุนเฉพาะกิจ-ศูนย์พัฒนาเด็กเล็กฯ</t>
  </si>
  <si>
    <t>เงินอุดหนุนทั่วไปที่ระบุวัตถุประสงค์-เบี้ยยังชีพฯ</t>
  </si>
  <si>
    <t>รหัสบัญชี</t>
  </si>
  <si>
    <t>จำนวนเงิน</t>
  </si>
  <si>
    <t>หมวดภาษีอากร</t>
  </si>
  <si>
    <t>ภาษีโรงเรือนและที่ดิน</t>
  </si>
  <si>
    <t>0101</t>
  </si>
  <si>
    <t>ภาษีบำรุงท้องที่</t>
  </si>
  <si>
    <t>0102</t>
  </si>
  <si>
    <t>ค่าภาษีป้าย</t>
  </si>
  <si>
    <t>0103</t>
  </si>
  <si>
    <t>อากรฆ่าสัตว์</t>
  </si>
  <si>
    <t>0104</t>
  </si>
  <si>
    <t>0106</t>
  </si>
  <si>
    <t>รวม</t>
  </si>
  <si>
    <t>หมวดค่าธรรมเนียม ค่าปรับและใบอนุญาต</t>
  </si>
  <si>
    <t>ค่าธรรมเนียมเกี่ยวกับควบคุมเนื้อสัตว์และจำหน่ายเนื้อสัตว์</t>
  </si>
  <si>
    <t>0121</t>
  </si>
  <si>
    <t>ค่าธรรมเนียมเก็บขยะมูลฝอย</t>
  </si>
  <si>
    <t>0126</t>
  </si>
  <si>
    <t>ค่าธรรมเนียมเกี่ยวกับฌาปนสถาน</t>
  </si>
  <si>
    <t>0129</t>
  </si>
  <si>
    <t>ค่าธรรมเนียมปิดประกาศ</t>
  </si>
  <si>
    <t>0130</t>
  </si>
  <si>
    <t>ค่าเปรียบเทียบปรับ พรบ. จราจรทางบก</t>
  </si>
  <si>
    <t>0137</t>
  </si>
  <si>
    <t>ค่าธรรมเนียมใบอนุญาตสะสมอาหาร</t>
  </si>
  <si>
    <t>0128</t>
  </si>
  <si>
    <t>ค่าธรรมเนียมกิจการที่เป็นอันตรายต่อสุขภาพ</t>
  </si>
  <si>
    <t>0148</t>
  </si>
  <si>
    <t>ค่าธรรมเนียมใบอนุญาตขายสุรา</t>
  </si>
  <si>
    <t>หมวดรายได้จากทรัพย์สิน</t>
  </si>
  <si>
    <t>ค่าเช่าทรัพย์สิน</t>
  </si>
  <si>
    <t>0202</t>
  </si>
  <si>
    <t>ดอกเบี้ยเงินฝากธนาคาร</t>
  </si>
  <si>
    <t>0203</t>
  </si>
  <si>
    <t>หมวดรายได้เบ็ดเตล็ด</t>
  </si>
  <si>
    <t>ค่าขายแบบแปลน</t>
  </si>
  <si>
    <t>0302</t>
  </si>
  <si>
    <t>ค่าคำร้อง</t>
  </si>
  <si>
    <t>0304</t>
  </si>
  <si>
    <t xml:space="preserve">รายได้เบ็ดเตล็ดอื่น ๆ </t>
  </si>
  <si>
    <t>0307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</si>
  <si>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</si>
  <si>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</si>
  <si>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1 ใน 9</t>
  </si>
  <si>
    <t>1002</t>
  </si>
  <si>
    <t>ภาษีมูลค่าเพิ่ม ตาม พรบ.กำหนดแผนฯ</t>
  </si>
  <si>
    <t>ภาษีธุรกิจเฉพาะ</t>
  </si>
  <si>
    <t>1004</t>
  </si>
  <si>
    <t>ภาษีสุรา</t>
  </si>
  <si>
    <t>1005</t>
  </si>
  <si>
    <t>ภาษีสรรพสามิต</t>
  </si>
  <si>
    <t>1006</t>
  </si>
  <si>
    <t>ค่าภาคหลวงแร่</t>
  </si>
  <si>
    <t>1010</t>
  </si>
  <si>
    <t>ค่าภาคหลวงปิโตรเลียม</t>
  </si>
  <si>
    <t>1011</t>
  </si>
  <si>
    <t>ค่าธรรมเนียมสิทธินิติกรรมที่ดิน</t>
  </si>
  <si>
    <t>1013</t>
  </si>
  <si>
    <t>ค่าธรรมเนียมน้ำบาดาล</t>
  </si>
  <si>
    <t>1016</t>
  </si>
  <si>
    <t>รายได้ที่รัฐบาลอุดหนุนให้องค์กรปกครองส่วนท้องถิ่น</t>
  </si>
  <si>
    <t>หมวดเงินอุดหนุน</t>
  </si>
  <si>
    <t>เงินอุดหนุนทั่วไปเพื่อการกระจายอำนาจ</t>
  </si>
  <si>
    <t>703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</si>
  <si>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</si>
  <si>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</si>
  <si>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หมวดเงินอุดหนุนทั่วไปที่ระบุวัตถุประสงค์</t>
  </si>
  <si>
    <t xml:space="preserve">        นักวิชาการเงินและบัญชี</t>
  </si>
  <si>
    <t>ณ  วันที่  28  กุมภาพันธ์  2553</t>
  </si>
  <si>
    <t>รายรับจริงประกอบรายงานรับ - จ่ายเงินสด</t>
  </si>
  <si>
    <t>ภาษีบำรุง อบจ. จากสถานค้าปลีกน้ำมัน</t>
  </si>
  <si>
    <t>รวมรายรับตามงบประมาณ</t>
  </si>
  <si>
    <t>รวมรายรับทั้งสิ้น</t>
  </si>
  <si>
    <t>0122</t>
  </si>
  <si>
    <t>รวมรายได้ที่รัฐบาลอุดหนุนให้โดยระบุวัตถุประสงค์</t>
  </si>
  <si>
    <t>รายได้รอการรับรู้</t>
  </si>
  <si>
    <t>รายรับ</t>
  </si>
  <si>
    <t>ประจำเดือน  มีนาคม  2553</t>
  </si>
  <si>
    <t>ประจำเดือน   มีนาคม  2553</t>
  </si>
  <si>
    <t>( มี.ค. 53)</t>
  </si>
  <si>
    <r>
      <t>รายรับ</t>
    </r>
    <r>
      <rPr>
        <sz val="16"/>
        <rFont val="Angsana New"/>
        <family val="1"/>
      </rPr>
      <t xml:space="preserve">  (</t>
    </r>
    <r>
      <rPr>
        <u val="single"/>
        <sz val="16"/>
        <rFont val="Angsana New"/>
        <family val="1"/>
      </rPr>
      <t>หมายเหตุ 1</t>
    </r>
    <r>
      <rPr>
        <sz val="16"/>
        <rFont val="Angsana New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</si>
</sst>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0"/>
      <name val="Arial"/>
      <family val="0"/>
    </font>
    <font>
      <sz val="11"/>
      <color indexed="8"/>
      <name val="Tahoma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2"/>
    </font>
    <font>
      <sz val="15"/>
      <name val="Angsana New"/>
      <family val="1"/>
    </font>
    <font>
      <b/>
      <sz val="15"/>
      <name val="Angsana New"/>
      <family val="1"/>
    </font>
    <font>
      <b/>
      <sz val="14"/>
      <name val="Angsana New"/>
      <family val="1"/>
    </font>
    <font>
      <b/>
      <sz val="13.5"/>
      <name val="Angsana New"/>
      <family val="1"/>
    </font>
    <font>
      <u val="single"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3" fontId="3" fillId="33" borderId="15" xfId="36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33" borderId="17" xfId="0" applyFont="1" applyFill="1" applyBorder="1" applyAlignment="1">
      <alignment/>
    </xf>
    <xf numFmtId="4" fontId="3" fillId="0" borderId="0" xfId="0" applyNumberFormat="1" applyFont="1" applyAlignment="1">
      <alignment/>
    </xf>
    <xf numFmtId="49" fontId="3" fillId="33" borderId="0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9" fontId="3" fillId="33" borderId="19" xfId="0" applyNumberFormat="1" applyFont="1" applyFill="1" applyBorder="1" applyAlignment="1">
      <alignment horizontal="center"/>
    </xf>
    <xf numFmtId="4" fontId="4" fillId="0" borderId="20" xfId="0" applyNumberFormat="1" applyFont="1" applyBorder="1" applyAlignment="1">
      <alignment/>
    </xf>
    <xf numFmtId="4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49" fontId="3" fillId="33" borderId="25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9" fontId="3" fillId="33" borderId="27" xfId="0" applyNumberFormat="1" applyFont="1" applyFill="1" applyBorder="1" applyAlignment="1">
      <alignment horizontal="center"/>
    </xf>
    <xf numFmtId="4" fontId="3" fillId="33" borderId="27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3" xfId="36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" fontId="3" fillId="0" borderId="15" xfId="36" applyNumberFormat="1" applyFont="1" applyFill="1" applyBorder="1" applyAlignment="1">
      <alignment horizontal="right"/>
    </xf>
    <xf numFmtId="4" fontId="3" fillId="0" borderId="15" xfId="36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4" fontId="3" fillId="0" borderId="0" xfId="36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50" fillId="0" borderId="0" xfId="0" applyNumberFormat="1" applyFont="1" applyFill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3" fontId="3" fillId="33" borderId="13" xfId="36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shrinkToFit="1"/>
    </xf>
    <xf numFmtId="0" fontId="3" fillId="33" borderId="14" xfId="0" applyFont="1" applyFill="1" applyBorder="1" applyAlignment="1">
      <alignment shrinkToFit="1"/>
    </xf>
    <xf numFmtId="0" fontId="8" fillId="33" borderId="15" xfId="0" applyFont="1" applyFill="1" applyBorder="1" applyAlignment="1">
      <alignment/>
    </xf>
    <xf numFmtId="43" fontId="3" fillId="33" borderId="27" xfId="36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5" xfId="38" applyNumberFormat="1" applyFont="1" applyFill="1" applyBorder="1" applyAlignment="1">
      <alignment/>
    </xf>
    <xf numFmtId="4" fontId="4" fillId="0" borderId="28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49" fontId="4" fillId="33" borderId="19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3" fontId="4" fillId="0" borderId="10" xfId="39" applyFont="1" applyFill="1" applyBorder="1" applyAlignment="1">
      <alignment horizontal="center" vertical="center"/>
    </xf>
    <xf numFmtId="43" fontId="4" fillId="0" borderId="11" xfId="39" applyFont="1" applyFill="1" applyBorder="1" applyAlignment="1">
      <alignment horizontal="center" vertical="center"/>
    </xf>
    <xf numFmtId="43" fontId="3" fillId="0" borderId="13" xfId="39" applyFont="1" applyFill="1" applyBorder="1" applyAlignment="1">
      <alignment horizontal="center"/>
    </xf>
    <xf numFmtId="43" fontId="3" fillId="0" borderId="14" xfId="39" applyFont="1" applyFill="1" applyBorder="1" applyAlignment="1">
      <alignment horizontal="center"/>
    </xf>
    <xf numFmtId="43" fontId="4" fillId="0" borderId="21" xfId="39" applyFont="1" applyFill="1" applyBorder="1" applyAlignment="1">
      <alignment/>
    </xf>
    <xf numFmtId="43" fontId="4" fillId="0" borderId="14" xfId="39" applyFont="1" applyFill="1" applyBorder="1" applyAlignment="1">
      <alignment horizontal="center" vertical="center"/>
    </xf>
    <xf numFmtId="4" fontId="3" fillId="0" borderId="0" xfId="39" applyNumberFormat="1" applyFont="1" applyFill="1" applyAlignment="1">
      <alignment horizontal="left"/>
    </xf>
    <xf numFmtId="4" fontId="3" fillId="0" borderId="0" xfId="39" applyNumberFormat="1" applyFont="1" applyFill="1" applyBorder="1" applyAlignment="1">
      <alignment/>
    </xf>
    <xf numFmtId="43" fontId="3" fillId="0" borderId="0" xfId="39" applyFont="1" applyFill="1" applyAlignment="1">
      <alignment horizontal="center"/>
    </xf>
    <xf numFmtId="43" fontId="4" fillId="0" borderId="30" xfId="39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0" fontId="3" fillId="0" borderId="0" xfId="47" applyFont="1" applyFill="1" applyAlignment="1">
      <alignment vertical="center"/>
      <protection/>
    </xf>
    <xf numFmtId="0" fontId="4" fillId="0" borderId="20" xfId="47" applyFont="1" applyFill="1" applyBorder="1" applyAlignment="1">
      <alignment vertical="center"/>
      <protection/>
    </xf>
    <xf numFmtId="0" fontId="4" fillId="0" borderId="33" xfId="47" applyFont="1" applyFill="1" applyBorder="1" applyAlignment="1">
      <alignment horizontal="center" vertical="center"/>
      <protection/>
    </xf>
    <xf numFmtId="0" fontId="4" fillId="0" borderId="34" xfId="47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3" fillId="0" borderId="16" xfId="47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4" fillId="0" borderId="31" xfId="47" applyFont="1" applyFill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/>
      <protection/>
    </xf>
    <xf numFmtId="0" fontId="3" fillId="0" borderId="17" xfId="47" applyFont="1" applyFill="1" applyBorder="1">
      <alignment/>
      <protection/>
    </xf>
    <xf numFmtId="0" fontId="3" fillId="0" borderId="35" xfId="47" applyFont="1" applyFill="1" applyBorder="1" applyAlignment="1">
      <alignment horizontal="left"/>
      <protection/>
    </xf>
    <xf numFmtId="0" fontId="3" fillId="0" borderId="35" xfId="47" applyFont="1" applyFill="1" applyBorder="1" applyAlignment="1">
      <alignment/>
      <protection/>
    </xf>
    <xf numFmtId="0" fontId="3" fillId="0" borderId="24" xfId="47" applyFont="1" applyFill="1" applyBorder="1" applyAlignment="1">
      <alignment/>
      <protection/>
    </xf>
    <xf numFmtId="49" fontId="3" fillId="0" borderId="13" xfId="47" applyNumberFormat="1" applyFont="1" applyFill="1" applyBorder="1" applyAlignment="1">
      <alignment horizontal="center"/>
      <protection/>
    </xf>
    <xf numFmtId="0" fontId="3" fillId="0" borderId="0" xfId="47" applyFont="1" applyFill="1" applyBorder="1">
      <alignment/>
      <protection/>
    </xf>
    <xf numFmtId="0" fontId="3" fillId="0" borderId="0" xfId="47" applyFont="1" applyFill="1">
      <alignment/>
      <protection/>
    </xf>
    <xf numFmtId="0" fontId="3" fillId="0" borderId="26" xfId="47" applyFont="1" applyFill="1" applyBorder="1">
      <alignment/>
      <protection/>
    </xf>
    <xf numFmtId="0" fontId="3" fillId="0" borderId="36" xfId="47" applyFont="1" applyFill="1" applyBorder="1" applyAlignment="1">
      <alignment horizontal="left"/>
      <protection/>
    </xf>
    <xf numFmtId="0" fontId="3" fillId="0" borderId="36" xfId="47" applyFont="1" applyFill="1" applyBorder="1" applyAlignment="1">
      <alignment/>
      <protection/>
    </xf>
    <xf numFmtId="0" fontId="3" fillId="0" borderId="25" xfId="47" applyFont="1" applyFill="1" applyBorder="1" applyAlignment="1">
      <alignment/>
      <protection/>
    </xf>
    <xf numFmtId="49" fontId="3" fillId="0" borderId="15" xfId="47" applyNumberFormat="1" applyFont="1" applyFill="1" applyBorder="1" applyAlignment="1">
      <alignment horizontal="center"/>
      <protection/>
    </xf>
    <xf numFmtId="0" fontId="3" fillId="0" borderId="25" xfId="47" applyFont="1" applyFill="1" applyBorder="1" applyAlignment="1">
      <alignment horizontal="left"/>
      <protection/>
    </xf>
    <xf numFmtId="0" fontId="3" fillId="0" borderId="36" xfId="47" applyFont="1" applyFill="1" applyBorder="1">
      <alignment/>
      <protection/>
    </xf>
    <xf numFmtId="0" fontId="3" fillId="0" borderId="25" xfId="47" applyFont="1" applyFill="1" applyBorder="1">
      <alignment/>
      <protection/>
    </xf>
    <xf numFmtId="0" fontId="4" fillId="0" borderId="26" xfId="47" applyFont="1" applyFill="1" applyBorder="1">
      <alignment/>
      <protection/>
    </xf>
    <xf numFmtId="49" fontId="4" fillId="0" borderId="15" xfId="47" applyNumberFormat="1" applyFont="1" applyFill="1" applyBorder="1" applyAlignment="1">
      <alignment horizontal="center"/>
      <protection/>
    </xf>
    <xf numFmtId="0" fontId="4" fillId="0" borderId="0" xfId="47" applyFont="1" applyFill="1" applyBorder="1">
      <alignment/>
      <protection/>
    </xf>
    <xf numFmtId="0" fontId="4" fillId="0" borderId="0" xfId="47" applyFont="1" applyFill="1">
      <alignment/>
      <protection/>
    </xf>
    <xf numFmtId="0" fontId="3" fillId="0" borderId="37" xfId="47" applyFont="1" applyFill="1" applyBorder="1" applyAlignment="1">
      <alignment vertical="center"/>
      <protection/>
    </xf>
    <xf numFmtId="0" fontId="5" fillId="0" borderId="38" xfId="47" applyFont="1" applyFill="1" applyBorder="1" applyAlignment="1">
      <alignment horizontal="left" vertical="center"/>
      <protection/>
    </xf>
    <xf numFmtId="0" fontId="4" fillId="0" borderId="38" xfId="47" applyFont="1" applyFill="1" applyBorder="1" applyAlignment="1">
      <alignment horizontal="center" vertical="center"/>
      <protection/>
    </xf>
    <xf numFmtId="0" fontId="4" fillId="0" borderId="39" xfId="47" applyFont="1" applyFill="1" applyBorder="1" applyAlignment="1">
      <alignment horizontal="center" vertical="center"/>
      <protection/>
    </xf>
    <xf numFmtId="0" fontId="4" fillId="0" borderId="14" xfId="47" applyFont="1" applyFill="1" applyBorder="1" applyAlignment="1">
      <alignment horizontal="center" vertical="center"/>
      <protection/>
    </xf>
    <xf numFmtId="0" fontId="3" fillId="0" borderId="24" xfId="47" applyFont="1" applyFill="1" applyBorder="1" applyAlignment="1">
      <alignment horizontal="left"/>
      <protection/>
    </xf>
    <xf numFmtId="43" fontId="4" fillId="0" borderId="21" xfId="39" applyFont="1" applyFill="1" applyBorder="1" applyAlignment="1">
      <alignment horizontal="center"/>
    </xf>
    <xf numFmtId="43" fontId="3" fillId="0" borderId="11" xfId="39" applyFont="1" applyFill="1" applyBorder="1" applyAlignment="1">
      <alignment horizontal="center"/>
    </xf>
    <xf numFmtId="0" fontId="3" fillId="0" borderId="35" xfId="47" applyFont="1" applyFill="1" applyBorder="1">
      <alignment/>
      <protection/>
    </xf>
    <xf numFmtId="0" fontId="3" fillId="0" borderId="24" xfId="47" applyFont="1" applyFill="1" applyBorder="1">
      <alignment/>
      <protection/>
    </xf>
    <xf numFmtId="0" fontId="4" fillId="0" borderId="16" xfId="47" applyFont="1" applyFill="1" applyBorder="1" applyAlignment="1">
      <alignment vertical="center"/>
      <protection/>
    </xf>
    <xf numFmtId="4" fontId="3" fillId="0" borderId="0" xfId="47" applyNumberFormat="1" applyFont="1" applyFill="1" applyBorder="1" applyAlignment="1">
      <alignment vertical="center"/>
      <protection/>
    </xf>
    <xf numFmtId="0" fontId="3" fillId="33" borderId="24" xfId="47" applyFont="1" applyFill="1" applyBorder="1">
      <alignment/>
      <protection/>
    </xf>
    <xf numFmtId="0" fontId="3" fillId="0" borderId="37" xfId="47" applyFont="1" applyFill="1" applyBorder="1">
      <alignment/>
      <protection/>
    </xf>
    <xf numFmtId="0" fontId="3" fillId="0" borderId="38" xfId="47" applyFont="1" applyFill="1" applyBorder="1">
      <alignment/>
      <protection/>
    </xf>
    <xf numFmtId="0" fontId="3" fillId="0" borderId="39" xfId="47" applyFont="1" applyFill="1" applyBorder="1">
      <alignment/>
      <protection/>
    </xf>
    <xf numFmtId="49" fontId="3" fillId="0" borderId="14" xfId="47" applyNumberFormat="1" applyFont="1" applyFill="1" applyBorder="1" applyAlignment="1">
      <alignment horizontal="center"/>
      <protection/>
    </xf>
    <xf numFmtId="49" fontId="4" fillId="0" borderId="21" xfId="47" applyNumberFormat="1" applyFont="1" applyFill="1" applyBorder="1" applyAlignment="1">
      <alignment horizontal="center"/>
      <protection/>
    </xf>
    <xf numFmtId="43" fontId="4" fillId="0" borderId="10" xfId="39" applyFont="1" applyFill="1" applyBorder="1" applyAlignment="1">
      <alignment/>
    </xf>
    <xf numFmtId="0" fontId="4" fillId="0" borderId="40" xfId="47" applyFont="1" applyFill="1" applyBorder="1" applyAlignment="1">
      <alignment horizontal="center" vertical="center"/>
      <protection/>
    </xf>
    <xf numFmtId="49" fontId="4" fillId="0" borderId="30" xfId="47" applyNumberFormat="1" applyFont="1" applyFill="1" applyBorder="1" applyAlignment="1">
      <alignment horizontal="center" vertical="center"/>
      <protection/>
    </xf>
    <xf numFmtId="43" fontId="3" fillId="0" borderId="0" xfId="47" applyNumberFormat="1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horizontal="center"/>
      <protection/>
    </xf>
    <xf numFmtId="0" fontId="4" fillId="0" borderId="40" xfId="47" applyFont="1" applyFill="1" applyBorder="1">
      <alignment/>
      <protection/>
    </xf>
    <xf numFmtId="49" fontId="4" fillId="0" borderId="30" xfId="47" applyNumberFormat="1" applyFont="1" applyFill="1" applyBorder="1" applyAlignment="1">
      <alignment horizontal="center"/>
      <protection/>
    </xf>
    <xf numFmtId="43" fontId="3" fillId="0" borderId="10" xfId="39" applyFont="1" applyFill="1" applyBorder="1" applyAlignment="1">
      <alignment horizontal="center"/>
    </xf>
    <xf numFmtId="43" fontId="3" fillId="0" borderId="18" xfId="39" applyFont="1" applyFill="1" applyBorder="1" applyAlignment="1">
      <alignment horizontal="center"/>
    </xf>
    <xf numFmtId="4" fontId="3" fillId="0" borderId="0" xfId="47" applyNumberFormat="1" applyFont="1" applyFill="1" applyBorder="1">
      <alignment/>
      <protection/>
    </xf>
    <xf numFmtId="49" fontId="3" fillId="0" borderId="10" xfId="47" applyNumberFormat="1" applyFont="1" applyFill="1" applyBorder="1" applyAlignment="1">
      <alignment horizontal="center"/>
      <protection/>
    </xf>
    <xf numFmtId="43" fontId="3" fillId="0" borderId="10" xfId="39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43" fontId="3" fillId="33" borderId="14" xfId="36" applyFont="1" applyFill="1" applyBorder="1" applyAlignment="1">
      <alignment/>
    </xf>
    <xf numFmtId="0" fontId="8" fillId="33" borderId="14" xfId="0" applyFont="1" applyFill="1" applyBorder="1" applyAlignment="1">
      <alignment/>
    </xf>
    <xf numFmtId="43" fontId="4" fillId="0" borderId="16" xfId="39" applyFont="1" applyFill="1" applyBorder="1" applyAlignment="1">
      <alignment horizontal="center" vertical="center"/>
    </xf>
    <xf numFmtId="43" fontId="4" fillId="0" borderId="12" xfId="39" applyFont="1" applyFill="1" applyBorder="1" applyAlignment="1">
      <alignment horizontal="center" vertical="center"/>
    </xf>
    <xf numFmtId="0" fontId="11" fillId="0" borderId="35" xfId="47" applyFont="1" applyFill="1" applyBorder="1" applyAlignment="1">
      <alignment/>
      <protection/>
    </xf>
    <xf numFmtId="43" fontId="4" fillId="0" borderId="10" xfId="39" applyFont="1" applyFill="1" applyBorder="1" applyAlignment="1">
      <alignment horizontal="center" vertical="center" shrinkToFit="1"/>
    </xf>
    <xf numFmtId="43" fontId="4" fillId="0" borderId="11" xfId="39" applyFont="1" applyFill="1" applyBorder="1" applyAlignment="1">
      <alignment horizontal="center" vertical="center" shrinkToFit="1"/>
    </xf>
    <xf numFmtId="43" fontId="3" fillId="0" borderId="13" xfId="39" applyFont="1" applyFill="1" applyBorder="1" applyAlignment="1">
      <alignment horizontal="center" shrinkToFit="1"/>
    </xf>
    <xf numFmtId="43" fontId="4" fillId="0" borderId="21" xfId="39" applyFont="1" applyFill="1" applyBorder="1" applyAlignment="1">
      <alignment shrinkToFit="1"/>
    </xf>
    <xf numFmtId="43" fontId="4" fillId="0" borderId="14" xfId="39" applyFont="1" applyFill="1" applyBorder="1" applyAlignment="1">
      <alignment horizontal="center" vertical="center" shrinkToFit="1"/>
    </xf>
    <xf numFmtId="43" fontId="4" fillId="0" borderId="21" xfId="39" applyFont="1" applyFill="1" applyBorder="1" applyAlignment="1">
      <alignment horizontal="center" shrinkToFit="1"/>
    </xf>
    <xf numFmtId="43" fontId="3" fillId="0" borderId="11" xfId="39" applyFont="1" applyFill="1" applyBorder="1" applyAlignment="1">
      <alignment horizontal="center" shrinkToFit="1"/>
    </xf>
    <xf numFmtId="43" fontId="4" fillId="0" borderId="10" xfId="39" applyFont="1" applyFill="1" applyBorder="1" applyAlignment="1">
      <alignment shrinkToFit="1"/>
    </xf>
    <xf numFmtId="43" fontId="4" fillId="0" borderId="30" xfId="39" applyFont="1" applyFill="1" applyBorder="1" applyAlignment="1">
      <alignment horizontal="center" vertical="center" shrinkToFit="1"/>
    </xf>
    <xf numFmtId="43" fontId="3" fillId="0" borderId="14" xfId="39" applyFont="1" applyFill="1" applyBorder="1" applyAlignment="1">
      <alignment horizontal="center" shrinkToFit="1"/>
    </xf>
    <xf numFmtId="43" fontId="3" fillId="0" borderId="10" xfId="39" applyFont="1" applyFill="1" applyBorder="1" applyAlignment="1">
      <alignment shrinkToFit="1"/>
    </xf>
    <xf numFmtId="43" fontId="3" fillId="0" borderId="0" xfId="39" applyFont="1" applyFill="1" applyAlignment="1">
      <alignment horizontal="center" shrinkToFit="1"/>
    </xf>
    <xf numFmtId="0" fontId="4" fillId="0" borderId="0" xfId="47" applyFont="1" applyFill="1" applyBorder="1" applyAlignment="1">
      <alignment horizontal="center"/>
      <protection/>
    </xf>
    <xf numFmtId="49" fontId="4" fillId="0" borderId="0" xfId="47" applyNumberFormat="1" applyFont="1" applyFill="1" applyBorder="1" applyAlignment="1">
      <alignment horizontal="center"/>
      <protection/>
    </xf>
    <xf numFmtId="43" fontId="4" fillId="0" borderId="0" xfId="39" applyFont="1" applyFill="1" applyBorder="1" applyAlignment="1">
      <alignment horizontal="center"/>
    </xf>
    <xf numFmtId="43" fontId="4" fillId="0" borderId="0" xfId="39" applyFont="1" applyFill="1" applyBorder="1" applyAlignment="1">
      <alignment horizontal="center" shrinkToFit="1"/>
    </xf>
    <xf numFmtId="0" fontId="3" fillId="0" borderId="38" xfId="47" applyFont="1" applyFill="1" applyBorder="1" applyAlignment="1">
      <alignment/>
      <protection/>
    </xf>
    <xf numFmtId="0" fontId="3" fillId="0" borderId="39" xfId="47" applyFont="1" applyFill="1" applyBorder="1" applyAlignment="1">
      <alignment/>
      <protection/>
    </xf>
    <xf numFmtId="0" fontId="12" fillId="0" borderId="16" xfId="47" applyFont="1" applyFill="1" applyBorder="1" applyAlignment="1">
      <alignment vertical="center"/>
      <protection/>
    </xf>
    <xf numFmtId="0" fontId="3" fillId="0" borderId="16" xfId="47" applyFont="1" applyFill="1" applyBorder="1">
      <alignment/>
      <protection/>
    </xf>
    <xf numFmtId="0" fontId="3" fillId="0" borderId="31" xfId="47" applyFont="1" applyFill="1" applyBorder="1">
      <alignment/>
      <protection/>
    </xf>
    <xf numFmtId="49" fontId="3" fillId="0" borderId="11" xfId="47" applyNumberFormat="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" fontId="4" fillId="0" borderId="30" xfId="0" applyNumberFormat="1" applyFont="1" applyBorder="1" applyAlignment="1">
      <alignment/>
    </xf>
    <xf numFmtId="0" fontId="4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/>
    </xf>
    <xf numFmtId="4" fontId="3" fillId="0" borderId="28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21" xfId="0" applyNumberFormat="1" applyFont="1" applyBorder="1" applyAlignment="1">
      <alignment horizontal="center"/>
    </xf>
    <xf numFmtId="0" fontId="4" fillId="33" borderId="2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2" fillId="0" borderId="0" xfId="47" applyFont="1" applyFill="1" applyAlignment="1">
      <alignment horizontal="center" vertical="center"/>
      <protection/>
    </xf>
    <xf numFmtId="0" fontId="2" fillId="0" borderId="19" xfId="47" applyFont="1" applyFill="1" applyBorder="1" applyAlignment="1">
      <alignment horizontal="center" vertical="center"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4" fillId="0" borderId="21" xfId="47" applyFont="1" applyFill="1" applyBorder="1" applyAlignment="1">
      <alignment horizontal="center" vertical="center"/>
      <protection/>
    </xf>
    <xf numFmtId="17" fontId="4" fillId="0" borderId="21" xfId="39" applyNumberFormat="1" applyFont="1" applyFill="1" applyBorder="1" applyAlignment="1">
      <alignment horizontal="center" vertical="center" shrinkToFit="1"/>
    </xf>
    <xf numFmtId="4" fontId="4" fillId="0" borderId="21" xfId="39" applyNumberFormat="1" applyFont="1" applyFill="1" applyBorder="1" applyAlignment="1">
      <alignment horizontal="center" vertical="center"/>
    </xf>
    <xf numFmtId="0" fontId="4" fillId="0" borderId="22" xfId="47" applyFont="1" applyFill="1" applyBorder="1" applyAlignment="1">
      <alignment horizontal="center"/>
      <protection/>
    </xf>
    <xf numFmtId="0" fontId="4" fillId="0" borderId="44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4" fillId="0" borderId="36" xfId="47" applyFont="1" applyFill="1" applyBorder="1" applyAlignment="1">
      <alignment horizontal="center"/>
      <protection/>
    </xf>
    <xf numFmtId="0" fontId="4" fillId="0" borderId="25" xfId="47" applyFont="1" applyFill="1" applyBorder="1" applyAlignment="1">
      <alignment horizontal="center"/>
      <protection/>
    </xf>
    <xf numFmtId="0" fontId="4" fillId="0" borderId="21" xfId="47" applyFont="1" applyFill="1" applyBorder="1" applyAlignment="1">
      <alignment horizontal="center"/>
      <protection/>
    </xf>
    <xf numFmtId="0" fontId="4" fillId="0" borderId="45" xfId="47" applyFont="1" applyFill="1" applyBorder="1" applyAlignment="1">
      <alignment horizontal="center" vertical="center"/>
      <protection/>
    </xf>
    <xf numFmtId="0" fontId="4" fillId="0" borderId="46" xfId="47" applyFont="1" applyFill="1" applyBorder="1" applyAlignment="1">
      <alignment horizontal="center" vertical="center"/>
      <protection/>
    </xf>
    <xf numFmtId="0" fontId="4" fillId="0" borderId="45" xfId="47" applyFont="1" applyFill="1" applyBorder="1" applyAlignment="1">
      <alignment horizontal="center"/>
      <protection/>
    </xf>
    <xf numFmtId="0" fontId="4" fillId="0" borderId="46" xfId="47" applyFont="1" applyFill="1" applyBorder="1" applyAlignment="1">
      <alignment horizontal="center"/>
      <protection/>
    </xf>
    <xf numFmtId="0" fontId="3" fillId="0" borderId="22" xfId="47" applyFont="1" applyFill="1" applyBorder="1" applyAlignment="1">
      <alignment horizontal="left"/>
      <protection/>
    </xf>
    <xf numFmtId="0" fontId="3" fillId="0" borderId="44" xfId="47" applyFont="1" applyFill="1" applyBorder="1" applyAlignment="1">
      <alignment horizontal="left"/>
      <protection/>
    </xf>
    <xf numFmtId="0" fontId="3" fillId="0" borderId="23" xfId="47" applyFont="1" applyFill="1" applyBorder="1" applyAlignment="1">
      <alignment horizontal="left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0</xdr:row>
      <xdr:rowOff>47625</xdr:rowOff>
    </xdr:from>
    <xdr:to>
      <xdr:col>14</xdr:col>
      <xdr:colOff>847725</xdr:colOff>
      <xdr:row>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10625" y="47625"/>
          <a:ext cx="9715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%20&#3611;&#3637;&#3591;&#3610;&#3611;&#3619;&#3632;&#3617;&#3634;&#3603;%202552\&#3619;&#3634;&#3618;&#3591;&#3634;&#3609;&#3619;&#3633;&#3610;%20-%20&#3592;&#3656;&#3634;&#3618;&#3648;&#3591;&#3636;&#3609;&#3626;&#3604;%20&#3611;&#3619;&#3632;&#3592;&#3635;&#3648;&#3604;&#3639;&#3629;&#3609;%20&#3611;&#3637;&#3591;&#3610;&#3611;&#3619;&#3632;&#3617;&#3634;&#3603;%202552\Copy%20of%2012.%20&#3619;&#3634;&#3618;&#3591;&#3634;&#3609;&#3619;&#3633;&#3610;%20-%20&#3592;&#3656;&#3634;&#3618;&#3648;&#3591;&#3636;&#3609;&#3626;&#3604;%20&#3611;&#3619;&#3632;&#3592;&#3635;&#3648;&#3604;&#3639;&#3629;&#3609;%20&#3585;&#3633;&#3609;&#3618;&#3634;&#3618;&#3609;%20%2025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53%20&#3592;&#3619;&#3657;&#3634;\&#3591;&#3634;&#3609;&#3585;&#3634;&#3619;&#3648;&#3591;&#3636;&#3609;&#3649;&#3621;&#3632;&#3610;&#3633;&#3597;&#3594;&#3637;%20&#3611;&#3637;&#3591;&#3610;&#3611;&#3619;&#3632;&#3617;&#3634;&#3603;%202553\&#3619;&#3634;&#3618;&#3591;&#3634;&#3609;&#3585;&#3634;&#3619;&#3619;&#3633;&#3610;%20-%20&#3592;&#3656;&#3634;&#3618;&#3648;&#3591;&#3636;&#3609;&#3626;&#3604;%20&#3611;&#3619;&#3632;&#3592;&#3635;&#3611;&#3637;&#3591;&#3610;&#3611;&#3619;&#3632;&#3617;&#3634;&#3603;%202553\5.%20&#3619;&#3634;&#3618;&#3591;&#3634;&#3609;&#3619;&#3633;&#3610;%20-%20&#3592;&#3656;&#3634;&#3618;&#3648;&#3591;&#3636;&#3609;&#3626;&#3604;%20%20&#3611;&#3619;&#3632;&#3592;&#3635;&#3648;&#3604;&#3639;&#3629;&#3609;%20%20&#3585;&#3640;&#3617;&#3616;&#3634;&#3614;&#3633;&#3609;&#3608;&#3660;%20%2025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.%20&#3619;&#3634;&#3618;&#3591;&#3634;&#3609;&#3619;&#3633;&#3610;%20-%20&#3592;&#3656;&#3634;&#3618;&#3648;&#3591;&#3636;&#3609;&#3626;&#3604;%20%20&#3611;&#3619;&#3632;&#3592;&#3635;&#3648;&#3604;&#3639;&#3629;&#3609;%20%20&#3585;&#3640;&#3617;&#3616;&#3634;&#3614;&#3633;&#3609;&#3608;&#3660;%20%20255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&#3649;&#3621;&#3632;&#3610;&#3633;&#3597;&#3594;&#3637;%20&#3611;&#3637;&#3591;&#3610;&#3611;&#3619;&#3632;&#3617;&#3634;&#3603;%202553\&#3619;&#3634;&#3618;&#3591;&#3634;&#3609;&#3626;&#3606;&#3634;&#3609;&#3632;&#3607;&#3634;&#3591;&#3585;&#3634;&#3619;&#3648;&#3591;&#3636;&#3609;&#3611;&#3619;&#3632;&#3592;&#3635;&#3623;&#3633;&#3609;%20&#3611;&#3637;&#3591;&#3610;&#3611;&#3619;&#3632;&#3617;&#3634;&#3603;%202553\6.%20&#3619;&#3634;&#3618;&#3591;&#3634;&#3609;&#3626;&#3606;&#3634;&#3609;&#3632;&#3607;&#3634;&#3591;&#3585;&#3634;&#3619;&#3648;&#3591;&#3636;&#3609;&#3611;&#3619;&#3632;&#3592;&#3635;&#3623;&#3633;&#3609;%20&#3611;&#3619;&#3632;&#3592;&#3635;&#3648;&#3604;&#3639;&#3629;&#3609;%20&#3617;&#3637;.&#3588;.%20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 "/>
    </sheetNames>
    <sheetDataSet>
      <sheetData sheetId="1">
        <row r="46">
          <cell r="F46">
            <v>13000856.09000001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  <sheetName val="หมายเหตุประกอบ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  <sheetName val="หมายเหตุประกอบ 1"/>
      <sheetName val="หมายเหตุประกอบ 1 (มีประมาณการ)"/>
    </sheetNames>
    <sheetDataSet>
      <sheetData sheetId="0"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35279</v>
          </cell>
        </row>
        <row r="28">
          <cell r="B28">
            <v>13542.92</v>
          </cell>
        </row>
        <row r="29">
          <cell r="B29">
            <v>1360.97</v>
          </cell>
        </row>
        <row r="30">
          <cell r="B30">
            <v>1633.1599999999999</v>
          </cell>
        </row>
        <row r="31">
          <cell r="B31">
            <v>0</v>
          </cell>
        </row>
        <row r="32">
          <cell r="B32">
            <v>62560</v>
          </cell>
        </row>
        <row r="33">
          <cell r="B33">
            <v>10000</v>
          </cell>
        </row>
        <row r="34">
          <cell r="B34">
            <v>257000</v>
          </cell>
        </row>
        <row r="35">
          <cell r="B35">
            <v>29691.5</v>
          </cell>
        </row>
        <row r="36">
          <cell r="B36">
            <v>220000</v>
          </cell>
        </row>
        <row r="37">
          <cell r="B37">
            <v>900</v>
          </cell>
        </row>
        <row r="38">
          <cell r="B38">
            <v>3218</v>
          </cell>
        </row>
        <row r="39">
          <cell r="B39">
            <v>61000</v>
          </cell>
        </row>
      </sheetData>
      <sheetData sheetId="1">
        <row r="5">
          <cell r="B5">
            <v>1206190</v>
          </cell>
        </row>
        <row r="6">
          <cell r="B6">
            <v>1111685</v>
          </cell>
        </row>
        <row r="7">
          <cell r="B7">
            <v>631250</v>
          </cell>
        </row>
        <row r="8">
          <cell r="B8">
            <v>433911</v>
          </cell>
        </row>
        <row r="9">
          <cell r="B9">
            <v>674660.8300000001</v>
          </cell>
        </row>
        <row r="10">
          <cell r="B10">
            <v>422147.5</v>
          </cell>
        </row>
        <row r="11">
          <cell r="B11">
            <v>59989.479999999996</v>
          </cell>
        </row>
        <row r="12">
          <cell r="B12">
            <v>704724</v>
          </cell>
        </row>
        <row r="13">
          <cell r="B13">
            <v>17785</v>
          </cell>
        </row>
        <row r="14">
          <cell r="B14">
            <v>0</v>
          </cell>
        </row>
        <row r="15">
          <cell r="B15">
            <v>37440</v>
          </cell>
        </row>
        <row r="17">
          <cell r="B17">
            <v>48300</v>
          </cell>
        </row>
        <row r="18">
          <cell r="B18">
            <v>0</v>
          </cell>
        </row>
        <row r="19">
          <cell r="B19">
            <v>468000</v>
          </cell>
        </row>
        <row r="20">
          <cell r="B20">
            <v>0</v>
          </cell>
        </row>
        <row r="21">
          <cell r="B21">
            <v>25833.52</v>
          </cell>
        </row>
        <row r="22">
          <cell r="B22">
            <v>8101.59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62560</v>
          </cell>
        </row>
        <row r="27">
          <cell r="B27">
            <v>10000</v>
          </cell>
        </row>
        <row r="28">
          <cell r="B28">
            <v>257000</v>
          </cell>
        </row>
        <row r="29">
          <cell r="B29">
            <v>29691.5</v>
          </cell>
        </row>
        <row r="30">
          <cell r="B30">
            <v>133676</v>
          </cell>
        </row>
        <row r="31">
          <cell r="B31">
            <v>743850</v>
          </cell>
        </row>
        <row r="38">
          <cell r="F38">
            <v>13753769.45000001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.03"/>
      <sheetName val="03.03 "/>
      <sheetName val="04.03  "/>
      <sheetName val="05.03  "/>
      <sheetName val="08.03  "/>
      <sheetName val="09.03  "/>
      <sheetName val="10.03   "/>
      <sheetName val="11.03    "/>
      <sheetName val="12.03    "/>
      <sheetName val="15.03    "/>
      <sheetName val="16.03     "/>
      <sheetName val="17.03    "/>
      <sheetName val="18.03    "/>
      <sheetName val="19.03   "/>
      <sheetName val="22.03   "/>
      <sheetName val="23.03  "/>
      <sheetName val="24.03   "/>
      <sheetName val="25.03  "/>
      <sheetName val="26.03  "/>
      <sheetName val="29.03 "/>
      <sheetName val="30.03  "/>
      <sheetName val="31.03  "/>
    </sheetNames>
    <sheetDataSet>
      <sheetData sheetId="21">
        <row r="29">
          <cell r="H29">
            <v>17575226.79000001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9">
      <selection activeCell="E30" sqref="E30"/>
    </sheetView>
  </sheetViews>
  <sheetFormatPr defaultColWidth="9.140625" defaultRowHeight="12.75"/>
  <cols>
    <col min="1" max="1" width="18.7109375" style="32" customWidth="1"/>
    <col min="2" max="2" width="18.7109375" style="53" customWidth="1"/>
    <col min="3" max="3" width="39.7109375" style="54" customWidth="1"/>
    <col min="4" max="4" width="10.28125" style="55" customWidth="1"/>
    <col min="5" max="5" width="18.7109375" style="53" customWidth="1"/>
    <col min="6" max="6" width="9.140625" style="2" customWidth="1"/>
    <col min="7" max="7" width="12.28125" style="1" bestFit="1" customWidth="1"/>
    <col min="8" max="16384" width="9.140625" style="1" customWidth="1"/>
  </cols>
  <sheetData>
    <row r="1" spans="1:6" ht="26.25">
      <c r="A1" s="235" t="s">
        <v>0</v>
      </c>
      <c r="B1" s="235"/>
      <c r="C1" s="235"/>
      <c r="D1" s="235"/>
      <c r="E1" s="235"/>
      <c r="F1" s="1"/>
    </row>
    <row r="2" spans="1:5" ht="26.25">
      <c r="A2" s="235" t="s">
        <v>1</v>
      </c>
      <c r="B2" s="235"/>
      <c r="C2" s="235"/>
      <c r="D2" s="235"/>
      <c r="E2" s="235"/>
    </row>
    <row r="3" spans="1:5" ht="26.25">
      <c r="A3" s="235" t="s">
        <v>2</v>
      </c>
      <c r="B3" s="235"/>
      <c r="C3" s="235"/>
      <c r="D3" s="235"/>
      <c r="E3" s="235"/>
    </row>
    <row r="4" spans="1:5" ht="23.25">
      <c r="A4" s="236" t="s">
        <v>174</v>
      </c>
      <c r="B4" s="236"/>
      <c r="C4" s="236"/>
      <c r="D4" s="236"/>
      <c r="E4" s="236"/>
    </row>
    <row r="5" spans="1:6" s="8" customFormat="1" ht="15.75" customHeight="1">
      <c r="A5" s="3"/>
      <c r="B5" s="4"/>
      <c r="C5" s="5"/>
      <c r="D5" s="6"/>
      <c r="E5" s="4"/>
      <c r="F5" s="7"/>
    </row>
    <row r="6" spans="1:6" s="11" customFormat="1" ht="23.25">
      <c r="A6" s="237" t="s">
        <v>3</v>
      </c>
      <c r="B6" s="237"/>
      <c r="C6" s="238" t="s">
        <v>4</v>
      </c>
      <c r="D6" s="9" t="s">
        <v>5</v>
      </c>
      <c r="E6" s="13" t="s">
        <v>6</v>
      </c>
      <c r="F6" s="10"/>
    </row>
    <row r="7" spans="1:6" s="11" customFormat="1" ht="23.25">
      <c r="A7" s="12" t="s">
        <v>7</v>
      </c>
      <c r="B7" s="13" t="s">
        <v>8</v>
      </c>
      <c r="C7" s="238"/>
      <c r="D7" s="14" t="s">
        <v>9</v>
      </c>
      <c r="E7" s="234" t="s">
        <v>8</v>
      </c>
      <c r="F7" s="10"/>
    </row>
    <row r="8" spans="1:6" s="11" customFormat="1" ht="23.25">
      <c r="A8" s="15" t="s">
        <v>10</v>
      </c>
      <c r="B8" s="16" t="s">
        <v>10</v>
      </c>
      <c r="C8" s="238"/>
      <c r="D8" s="17"/>
      <c r="E8" s="16" t="s">
        <v>10</v>
      </c>
      <c r="F8" s="10"/>
    </row>
    <row r="9" spans="1:6" s="8" customFormat="1" ht="23.25">
      <c r="A9" s="18"/>
      <c r="B9" s="225">
        <f>'[1]หน้า 2  '!$F$46</f>
        <v>13000856.09000001</v>
      </c>
      <c r="C9" s="19" t="s">
        <v>11</v>
      </c>
      <c r="D9" s="20"/>
      <c r="E9" s="225">
        <f>+'[3]หน้า 2 '!$F$38</f>
        <v>13753769.45000001</v>
      </c>
      <c r="F9" s="7"/>
    </row>
    <row r="10" spans="1:5" ht="23.25">
      <c r="A10" s="21"/>
      <c r="B10" s="22"/>
      <c r="C10" s="23" t="s">
        <v>176</v>
      </c>
      <c r="D10" s="24"/>
      <c r="E10" s="25"/>
    </row>
    <row r="11" spans="1:5" ht="23.25">
      <c r="A11" s="26">
        <f>+'หมายเหตุประกอบ 1 '!H13</f>
        <v>257440</v>
      </c>
      <c r="B11" s="27">
        <f>156111.55+E11</f>
        <v>249596.46</v>
      </c>
      <c r="C11" s="28" t="s">
        <v>13</v>
      </c>
      <c r="D11" s="24" t="s">
        <v>14</v>
      </c>
      <c r="E11" s="22">
        <f>+'หมายเหตุประกอบ 1 '!N13</f>
        <v>93484.91</v>
      </c>
    </row>
    <row r="12" spans="1:5" ht="23.25">
      <c r="A12" s="29">
        <f>+'หมายเหตุประกอบ 1 '!H22</f>
        <v>175900</v>
      </c>
      <c r="B12" s="27">
        <f>93563+E12</f>
        <v>119073</v>
      </c>
      <c r="C12" s="28" t="s">
        <v>15</v>
      </c>
      <c r="D12" s="24" t="s">
        <v>16</v>
      </c>
      <c r="E12" s="22">
        <f>+'หมายเหตุประกอบ 1 '!N22</f>
        <v>25510</v>
      </c>
    </row>
    <row r="13" spans="1:7" ht="23.25">
      <c r="A13" s="26">
        <f>+'หมายเหตุประกอบ 1 '!H29</f>
        <v>156000</v>
      </c>
      <c r="B13" s="27">
        <f>3140.48+E13</f>
        <v>14308.22</v>
      </c>
      <c r="C13" s="28" t="s">
        <v>17</v>
      </c>
      <c r="D13" s="24" t="s">
        <v>18</v>
      </c>
      <c r="E13" s="22">
        <f>+'หมายเหตุประกอบ 1 '!N29</f>
        <v>11167.74</v>
      </c>
      <c r="G13" s="32"/>
    </row>
    <row r="14" spans="1:5" ht="23.25">
      <c r="A14" s="26">
        <f>+'หมายเหตุประกอบ 1 '!H34</f>
        <v>83000</v>
      </c>
      <c r="B14" s="27">
        <f>26560+E14</f>
        <v>52060</v>
      </c>
      <c r="C14" s="28" t="s">
        <v>19</v>
      </c>
      <c r="D14" s="24" t="s">
        <v>20</v>
      </c>
      <c r="E14" s="102">
        <f>+'หมายเหตุประกอบ 1 '!N34</f>
        <v>25500</v>
      </c>
    </row>
    <row r="15" spans="1:7" ht="23.25">
      <c r="A15" s="26">
        <f>+'หมายเหตุประกอบ 1 '!H47</f>
        <v>9841160</v>
      </c>
      <c r="B15" s="27">
        <f>4270303.2+E15</f>
        <v>5593507.49</v>
      </c>
      <c r="C15" s="28" t="s">
        <v>21</v>
      </c>
      <c r="D15" s="24" t="s">
        <v>22</v>
      </c>
      <c r="E15" s="22">
        <f>+'หมายเหตุประกอบ 1 '!N47</f>
        <v>1323204.2899999998</v>
      </c>
      <c r="G15" s="32"/>
    </row>
    <row r="16" spans="1:5" ht="23.25">
      <c r="A16" s="26">
        <f>+'หมายเหตุประกอบ 1 '!H53</f>
        <v>7154000</v>
      </c>
      <c r="B16" s="27">
        <f>2412109+E16</f>
        <v>5561900</v>
      </c>
      <c r="C16" s="28" t="s">
        <v>23</v>
      </c>
      <c r="D16" s="24" t="s">
        <v>24</v>
      </c>
      <c r="E16" s="22">
        <f>+'หมายเหตุประกอบ 1 '!N53</f>
        <v>3149791</v>
      </c>
    </row>
    <row r="17" spans="1:7" s="8" customFormat="1" ht="24" thickBot="1">
      <c r="A17" s="222">
        <f>SUM(A11:A16)</f>
        <v>17667500</v>
      </c>
      <c r="B17" s="104">
        <f>SUM(B11:B16)</f>
        <v>11590445.17</v>
      </c>
      <c r="C17" s="223"/>
      <c r="D17" s="224"/>
      <c r="E17" s="104">
        <f>SUM(E11:E16)</f>
        <v>4628657.9399999995</v>
      </c>
      <c r="F17" s="7"/>
      <c r="G17" s="3"/>
    </row>
    <row r="18" spans="1:7" ht="24" thickTop="1">
      <c r="A18" s="30"/>
      <c r="B18" s="27">
        <f>50676+E18</f>
        <v>50676</v>
      </c>
      <c r="C18" s="97" t="s">
        <v>94</v>
      </c>
      <c r="D18" s="24"/>
      <c r="E18" s="25"/>
      <c r="G18" s="32"/>
    </row>
    <row r="19" spans="1:7" ht="23.25">
      <c r="A19" s="1"/>
      <c r="B19" s="193">
        <f>873000+E19</f>
        <v>1309500</v>
      </c>
      <c r="C19" s="194" t="s">
        <v>95</v>
      </c>
      <c r="D19" s="94"/>
      <c r="E19" s="50">
        <f>+'หมายเหตุประกอบ 1 '!N59</f>
        <v>436500</v>
      </c>
      <c r="G19" s="32"/>
    </row>
    <row r="20" spans="1:7" ht="23.25">
      <c r="A20" s="228" t="s">
        <v>25</v>
      </c>
      <c r="B20" s="98">
        <f>+E20</f>
        <v>146996</v>
      </c>
      <c r="C20" s="192" t="s">
        <v>171</v>
      </c>
      <c r="D20" s="51"/>
      <c r="E20" s="52">
        <f>+'หมายเหตุประกอบ 1 '!N61</f>
        <v>146996</v>
      </c>
      <c r="G20" s="32"/>
    </row>
    <row r="21" spans="1:7" ht="24" thickBot="1">
      <c r="A21" s="232">
        <f>+B17-B16</f>
        <v>6028545.17</v>
      </c>
      <c r="B21" s="107">
        <f>SUM(B17:B20)</f>
        <v>13097617.17</v>
      </c>
      <c r="C21" s="220"/>
      <c r="D21" s="221"/>
      <c r="E21" s="107">
        <f>SUM(E17:E20)</f>
        <v>5212153.9399999995</v>
      </c>
      <c r="G21" s="32"/>
    </row>
    <row r="22" spans="1:7" ht="24" thickTop="1">
      <c r="A22" s="227" t="s">
        <v>26</v>
      </c>
      <c r="B22" s="34"/>
      <c r="C22" s="35"/>
      <c r="D22" s="33"/>
      <c r="E22" s="34"/>
      <c r="G22" s="32"/>
    </row>
    <row r="23" spans="1:7" ht="23.25">
      <c r="A23" s="226">
        <f>SUM(B11:B14)</f>
        <v>435037.67999999993</v>
      </c>
      <c r="B23" s="36"/>
      <c r="C23" s="37"/>
      <c r="D23" s="38" t="s">
        <v>12</v>
      </c>
      <c r="E23" s="36"/>
      <c r="G23" s="32"/>
    </row>
    <row r="24" spans="1:7" ht="23.25">
      <c r="A24" s="39"/>
      <c r="B24" s="40">
        <f>SUM(B25:B41)</f>
        <v>867725.15</v>
      </c>
      <c r="C24" s="41" t="s">
        <v>27</v>
      </c>
      <c r="D24" s="42"/>
      <c r="E24" s="40">
        <f>SUM(E25:E41)</f>
        <v>171539.59999999998</v>
      </c>
      <c r="G24" s="32"/>
    </row>
    <row r="25" spans="1:7" s="8" customFormat="1" ht="23.25">
      <c r="A25" s="43"/>
      <c r="B25" s="27">
        <f>'[3]หน้า 1'!B24+E25</f>
        <v>0</v>
      </c>
      <c r="C25" s="44" t="s">
        <v>28</v>
      </c>
      <c r="D25" s="45" t="s">
        <v>29</v>
      </c>
      <c r="E25" s="25"/>
      <c r="F25" s="7"/>
      <c r="G25" s="3"/>
    </row>
    <row r="26" spans="1:6" s="8" customFormat="1" ht="23.25">
      <c r="A26" s="43"/>
      <c r="B26" s="27">
        <f>'[3]หน้า 1'!B25+E26</f>
        <v>0</v>
      </c>
      <c r="C26" s="46" t="s">
        <v>30</v>
      </c>
      <c r="D26" s="47"/>
      <c r="E26" s="22"/>
      <c r="F26" s="7"/>
    </row>
    <row r="27" spans="1:6" s="8" customFormat="1" ht="23.25">
      <c r="A27" s="30"/>
      <c r="B27" s="27">
        <f>'[3]หน้า 1'!B26+E27</f>
        <v>120</v>
      </c>
      <c r="C27" s="31" t="s">
        <v>31</v>
      </c>
      <c r="D27" s="48" t="s">
        <v>32</v>
      </c>
      <c r="E27" s="25">
        <v>120</v>
      </c>
      <c r="F27" s="7"/>
    </row>
    <row r="28" spans="1:5" ht="23.25">
      <c r="A28" s="30"/>
      <c r="B28" s="27">
        <f>'[3]หน้า 1'!B27+E28</f>
        <v>35279</v>
      </c>
      <c r="C28" s="49" t="s">
        <v>33</v>
      </c>
      <c r="D28" s="24" t="s">
        <v>34</v>
      </c>
      <c r="E28" s="22"/>
    </row>
    <row r="29" spans="1:5" ht="23.25">
      <c r="A29" s="30"/>
      <c r="B29" s="27">
        <f>'[3]หน้า 1'!B28+E29</f>
        <v>17950.9</v>
      </c>
      <c r="C29" s="49" t="s">
        <v>35</v>
      </c>
      <c r="D29" s="24" t="s">
        <v>36</v>
      </c>
      <c r="E29" s="21">
        <v>4407.98</v>
      </c>
    </row>
    <row r="30" spans="1:5" ht="23.25">
      <c r="A30" s="30"/>
      <c r="B30" s="27">
        <f>'[3]หน้า 1'!B29+E30</f>
        <v>1616.85</v>
      </c>
      <c r="C30" s="49" t="s">
        <v>37</v>
      </c>
      <c r="D30" s="24" t="s">
        <v>38</v>
      </c>
      <c r="E30" s="22">
        <v>255.88</v>
      </c>
    </row>
    <row r="31" spans="1:5" ht="23.25">
      <c r="A31" s="30"/>
      <c r="B31" s="27">
        <f>'[3]หน้า 1'!B30+E31</f>
        <v>1938.4299999999998</v>
      </c>
      <c r="C31" s="49" t="s">
        <v>39</v>
      </c>
      <c r="D31" s="24" t="s">
        <v>40</v>
      </c>
      <c r="E31" s="22">
        <v>305.27</v>
      </c>
    </row>
    <row r="32" spans="1:5" ht="23.25">
      <c r="A32" s="30"/>
      <c r="B32" s="27">
        <f>'[3]หน้า 1'!B31+E32</f>
        <v>0</v>
      </c>
      <c r="C32" s="49" t="s">
        <v>41</v>
      </c>
      <c r="D32" s="24" t="s">
        <v>42</v>
      </c>
      <c r="E32" s="22"/>
    </row>
    <row r="33" spans="1:5" ht="23.25">
      <c r="A33" s="30"/>
      <c r="B33" s="27">
        <f>'[3]หน้า 1'!B32+E33</f>
        <v>75160</v>
      </c>
      <c r="C33" s="49" t="s">
        <v>43</v>
      </c>
      <c r="D33" s="24" t="s">
        <v>42</v>
      </c>
      <c r="E33" s="26">
        <v>12600</v>
      </c>
    </row>
    <row r="34" spans="1:5" ht="23.25">
      <c r="A34" s="30"/>
      <c r="B34" s="27">
        <f>'[3]หน้า 1'!B33+E34</f>
        <v>12000</v>
      </c>
      <c r="C34" s="49" t="s">
        <v>44</v>
      </c>
      <c r="D34" s="24" t="s">
        <v>42</v>
      </c>
      <c r="E34" s="26">
        <v>2000</v>
      </c>
    </row>
    <row r="35" spans="1:5" ht="23.25">
      <c r="A35" s="30"/>
      <c r="B35" s="27">
        <f>'[3]หน้า 1'!B34+E35</f>
        <v>308400</v>
      </c>
      <c r="C35" s="28" t="s">
        <v>45</v>
      </c>
      <c r="D35" s="24" t="s">
        <v>42</v>
      </c>
      <c r="E35" s="26">
        <v>51400</v>
      </c>
    </row>
    <row r="36" spans="1:5" ht="23.25">
      <c r="A36" s="30"/>
      <c r="B36" s="27">
        <f>'[3]หน้า 1'!B35+E36</f>
        <v>31941.5</v>
      </c>
      <c r="C36" s="28" t="s">
        <v>46</v>
      </c>
      <c r="D36" s="24" t="s">
        <v>42</v>
      </c>
      <c r="E36" s="26">
        <v>2250</v>
      </c>
    </row>
    <row r="37" spans="1:5" ht="23.25">
      <c r="A37" s="30"/>
      <c r="B37" s="27">
        <f>'[3]หน้า 1'!B36+E37</f>
        <v>260077.96</v>
      </c>
      <c r="C37" s="95" t="s">
        <v>47</v>
      </c>
      <c r="D37" s="24"/>
      <c r="E37" s="22">
        <v>40077.96</v>
      </c>
    </row>
    <row r="38" spans="1:5" ht="23.25">
      <c r="A38" s="30"/>
      <c r="B38" s="27">
        <f>'[3]หน้า 1'!B37+E38</f>
        <v>900</v>
      </c>
      <c r="C38" s="96" t="s">
        <v>48</v>
      </c>
      <c r="D38" s="94"/>
      <c r="E38" s="50"/>
    </row>
    <row r="39" spans="1:5" ht="23.25">
      <c r="A39" s="30"/>
      <c r="B39" s="27">
        <f>'[3]หน้า 1'!B38+E39</f>
        <v>3218</v>
      </c>
      <c r="C39" s="95" t="s">
        <v>92</v>
      </c>
      <c r="D39" s="24"/>
      <c r="E39" s="22"/>
    </row>
    <row r="40" spans="1:5" ht="23.25">
      <c r="A40" s="30"/>
      <c r="B40" s="27">
        <f>'[3]หน้า 1'!B39+E40</f>
        <v>61422.51</v>
      </c>
      <c r="C40" s="231" t="s">
        <v>93</v>
      </c>
      <c r="D40" s="24"/>
      <c r="E40" s="22">
        <v>422.51</v>
      </c>
    </row>
    <row r="41" spans="1:5" ht="23.25">
      <c r="A41" s="30"/>
      <c r="B41" s="27">
        <f>+E41</f>
        <v>57700</v>
      </c>
      <c r="C41" s="229" t="s">
        <v>131</v>
      </c>
      <c r="D41" s="230"/>
      <c r="E41" s="36">
        <v>57700</v>
      </c>
    </row>
    <row r="42" spans="1:7" s="8" customFormat="1" ht="24" thickBot="1">
      <c r="A42" s="103"/>
      <c r="B42" s="104">
        <f>+B21+B24</f>
        <v>13965342.32</v>
      </c>
      <c r="C42" s="105"/>
      <c r="D42" s="106"/>
      <c r="E42" s="107">
        <f>+E21+E24</f>
        <v>5383693.539999999</v>
      </c>
      <c r="F42" s="7"/>
      <c r="G42" s="3"/>
    </row>
    <row r="43" ht="24" thickTop="1">
      <c r="G43" s="32"/>
    </row>
  </sheetData>
  <sheetProtection/>
  <mergeCells count="6">
    <mergeCell ref="A1:E1"/>
    <mergeCell ref="A2:E2"/>
    <mergeCell ref="A3:E3"/>
    <mergeCell ref="A4:E4"/>
    <mergeCell ref="A6:B6"/>
    <mergeCell ref="C6:C8"/>
  </mergeCells>
  <printOptions/>
  <pageMargins left="0.77" right="0.15748031496062992" top="0.27" bottom="0.1968503937007874" header="0.15748031496062992" footer="0.15748031496062992"/>
  <pageSetup horizontalDpi="600" verticalDpi="600" orientation="portrait" paperSize="9" scale="85" r:id="rId3"/>
  <rowBreaks count="1" manualBreakCount="1">
    <brk id="43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2" width="18.7109375" style="73" customWidth="1"/>
    <col min="3" max="3" width="3.140625" style="73" customWidth="1"/>
    <col min="4" max="4" width="38.140625" style="85" customWidth="1"/>
    <col min="5" max="5" width="12.7109375" style="91" customWidth="1"/>
    <col min="6" max="6" width="22.8515625" style="73" customWidth="1"/>
    <col min="7" max="7" width="9.140625" style="2" customWidth="1"/>
    <col min="8" max="8" width="16.28125" style="2" customWidth="1"/>
    <col min="9" max="9" width="9.57421875" style="2" bestFit="1" customWidth="1"/>
    <col min="10" max="16384" width="9.140625" style="2" customWidth="1"/>
  </cols>
  <sheetData>
    <row r="1" spans="1:8" s="10" customFormat="1" ht="23.25">
      <c r="A1" s="241" t="s">
        <v>3</v>
      </c>
      <c r="B1" s="241"/>
      <c r="C1" s="56"/>
      <c r="D1" s="242" t="s">
        <v>4</v>
      </c>
      <c r="E1" s="57" t="s">
        <v>5</v>
      </c>
      <c r="F1" s="59" t="s">
        <v>6</v>
      </c>
      <c r="H1" s="58"/>
    </row>
    <row r="2" spans="1:8" s="10" customFormat="1" ht="23.25">
      <c r="A2" s="59" t="s">
        <v>7</v>
      </c>
      <c r="B2" s="59" t="s">
        <v>8</v>
      </c>
      <c r="C2" s="60"/>
      <c r="D2" s="243"/>
      <c r="E2" s="61" t="s">
        <v>9</v>
      </c>
      <c r="F2" s="233" t="s">
        <v>8</v>
      </c>
      <c r="H2" s="58"/>
    </row>
    <row r="3" spans="1:8" s="10" customFormat="1" ht="23.25">
      <c r="A3" s="62" t="s">
        <v>10</v>
      </c>
      <c r="B3" s="62" t="s">
        <v>10</v>
      </c>
      <c r="C3" s="63"/>
      <c r="D3" s="64" t="s">
        <v>175</v>
      </c>
      <c r="E3" s="65"/>
      <c r="F3" s="62" t="s">
        <v>10</v>
      </c>
      <c r="H3" s="58"/>
    </row>
    <row r="4" spans="1:8" s="7" customFormat="1" ht="23.25">
      <c r="A4" s="66"/>
      <c r="B4" s="66"/>
      <c r="C4" s="67" t="s">
        <v>49</v>
      </c>
      <c r="D4" s="67"/>
      <c r="E4" s="57"/>
      <c r="F4" s="66"/>
      <c r="H4" s="68"/>
    </row>
    <row r="5" spans="1:8" ht="23.25">
      <c r="A5" s="69">
        <v>3273734</v>
      </c>
      <c r="B5" s="93">
        <f>+'[3]หน้า 2 '!B5+F5+194500</f>
        <v>1400690</v>
      </c>
      <c r="C5" s="70"/>
      <c r="D5" s="44" t="s">
        <v>50</v>
      </c>
      <c r="E5" s="45" t="s">
        <v>51</v>
      </c>
      <c r="F5" s="71">
        <v>0</v>
      </c>
      <c r="H5" s="72"/>
    </row>
    <row r="6" spans="1:8" ht="23.25">
      <c r="A6" s="74">
        <v>4020600</v>
      </c>
      <c r="B6" s="93">
        <f>+'[3]หน้า 2 '!B6+F6</f>
        <v>1410309</v>
      </c>
      <c r="C6" s="75"/>
      <c r="D6" s="46" t="s">
        <v>52</v>
      </c>
      <c r="E6" s="76" t="s">
        <v>53</v>
      </c>
      <c r="F6" s="71">
        <v>298624</v>
      </c>
      <c r="H6" s="72"/>
    </row>
    <row r="7" spans="1:8" ht="23.25">
      <c r="A7" s="74">
        <v>1715040</v>
      </c>
      <c r="B7" s="93">
        <f>+'[3]หน้า 2 '!B7+F7</f>
        <v>766445</v>
      </c>
      <c r="C7" s="75"/>
      <c r="D7" s="46" t="s">
        <v>54</v>
      </c>
      <c r="E7" s="76" t="s">
        <v>55</v>
      </c>
      <c r="F7" s="77">
        <v>135195</v>
      </c>
      <c r="H7" s="72"/>
    </row>
    <row r="8" spans="1:8" ht="23.25">
      <c r="A8" s="74">
        <v>684200</v>
      </c>
      <c r="B8" s="93">
        <f>+'[3]หน้า 2 '!B8+F8</f>
        <v>459444</v>
      </c>
      <c r="C8" s="75"/>
      <c r="D8" s="46" t="s">
        <v>56</v>
      </c>
      <c r="E8" s="76" t="s">
        <v>57</v>
      </c>
      <c r="F8" s="78">
        <v>25533</v>
      </c>
      <c r="H8" s="72"/>
    </row>
    <row r="9" spans="1:8" ht="23.25">
      <c r="A9" s="74">
        <v>2436600</v>
      </c>
      <c r="B9" s="93">
        <f>+'[3]หน้า 2 '!B9+F9+46400</f>
        <v>937668.8300000001</v>
      </c>
      <c r="C9" s="75"/>
      <c r="D9" s="46" t="s">
        <v>58</v>
      </c>
      <c r="E9" s="76" t="s">
        <v>59</v>
      </c>
      <c r="F9" s="78">
        <v>216608</v>
      </c>
      <c r="H9" s="72"/>
    </row>
    <row r="10" spans="1:8" ht="23.25">
      <c r="A10" s="74">
        <v>2001620</v>
      </c>
      <c r="B10" s="93">
        <f>+'[3]หน้า 2 '!B10+F10-58032</f>
        <v>497242.4</v>
      </c>
      <c r="C10" s="75"/>
      <c r="D10" s="46" t="s">
        <v>60</v>
      </c>
      <c r="E10" s="76" t="s">
        <v>61</v>
      </c>
      <c r="F10" s="78">
        <v>133126.9</v>
      </c>
      <c r="H10" s="72"/>
    </row>
    <row r="11" spans="1:8" ht="23.25">
      <c r="A11" s="74">
        <v>396000</v>
      </c>
      <c r="B11" s="93">
        <f>+'[3]หน้า 2 '!B11+F11</f>
        <v>75980.34999999999</v>
      </c>
      <c r="C11" s="75"/>
      <c r="D11" s="46" t="s">
        <v>62</v>
      </c>
      <c r="E11" s="76" t="s">
        <v>63</v>
      </c>
      <c r="F11" s="78">
        <v>15990.87</v>
      </c>
      <c r="H11" s="72"/>
    </row>
    <row r="12" spans="1:8" ht="23.25">
      <c r="A12" s="74">
        <v>2008000</v>
      </c>
      <c r="B12" s="93">
        <f>+'[3]หน้า 2 '!B12+F12</f>
        <v>828574</v>
      </c>
      <c r="C12" s="75"/>
      <c r="D12" s="46" t="s">
        <v>64</v>
      </c>
      <c r="E12" s="76" t="s">
        <v>65</v>
      </c>
      <c r="F12" s="78">
        <v>123850</v>
      </c>
      <c r="H12" s="72"/>
    </row>
    <row r="13" spans="1:8" ht="23.25">
      <c r="A13" s="74">
        <v>316800</v>
      </c>
      <c r="B13" s="93">
        <f>+'[3]หน้า 2 '!B13+F13</f>
        <v>158734</v>
      </c>
      <c r="C13" s="75"/>
      <c r="D13" s="46" t="s">
        <v>66</v>
      </c>
      <c r="E13" s="76" t="s">
        <v>67</v>
      </c>
      <c r="F13" s="78">
        <v>140949</v>
      </c>
      <c r="H13" s="72"/>
    </row>
    <row r="14" spans="1:8" ht="23.25">
      <c r="A14" s="74">
        <v>514126</v>
      </c>
      <c r="B14" s="93">
        <f>+'[3]หน้า 2 '!B14+F14</f>
        <v>0</v>
      </c>
      <c r="C14" s="75"/>
      <c r="D14" s="46" t="s">
        <v>68</v>
      </c>
      <c r="E14" s="76" t="s">
        <v>69</v>
      </c>
      <c r="F14" s="78">
        <v>0</v>
      </c>
      <c r="H14" s="72"/>
    </row>
    <row r="15" spans="1:8" ht="23.25">
      <c r="A15" s="79">
        <v>300780</v>
      </c>
      <c r="B15" s="93">
        <f>+'[3]หน้า 2 '!B15+F15+58032</f>
        <v>116064</v>
      </c>
      <c r="C15" s="75"/>
      <c r="D15" s="46" t="s">
        <v>70</v>
      </c>
      <c r="E15" s="76" t="s">
        <v>71</v>
      </c>
      <c r="F15" s="78">
        <v>20592</v>
      </c>
      <c r="H15" s="72"/>
    </row>
    <row r="16" spans="1:8" ht="24" thickBot="1">
      <c r="A16" s="80">
        <f>SUM(A5:A15)</f>
        <v>17667500</v>
      </c>
      <c r="B16" s="80">
        <f>SUM(B5:B15)</f>
        <v>6651151.58</v>
      </c>
      <c r="C16" s="75"/>
      <c r="D16" s="46"/>
      <c r="E16" s="76"/>
      <c r="F16" s="80">
        <f>SUM(F5:F15)</f>
        <v>1110468.77</v>
      </c>
      <c r="H16" s="72"/>
    </row>
    <row r="17" spans="1:8" ht="24" thickTop="1">
      <c r="A17" s="69"/>
      <c r="B17" s="93">
        <f>+'[3]หน้า 2 '!B17+F17-46400-194500-141500</f>
        <v>21910</v>
      </c>
      <c r="C17" s="75"/>
      <c r="D17" s="46" t="s">
        <v>48</v>
      </c>
      <c r="E17" s="76" t="s">
        <v>72</v>
      </c>
      <c r="F17" s="99">
        <v>356010</v>
      </c>
      <c r="H17" s="72"/>
    </row>
    <row r="18" spans="1:8" ht="23.25">
      <c r="A18" s="74"/>
      <c r="B18" s="93">
        <f>+'[3]หน้า 2 '!B18+F18</f>
        <v>0</v>
      </c>
      <c r="C18" s="75"/>
      <c r="D18" s="46" t="s">
        <v>28</v>
      </c>
      <c r="E18" s="76" t="s">
        <v>29</v>
      </c>
      <c r="F18" s="78">
        <v>0</v>
      </c>
      <c r="H18" s="72"/>
    </row>
    <row r="19" spans="1:8" ht="23.25">
      <c r="A19" s="74"/>
      <c r="B19" s="93">
        <f>+'[3]หน้า 2 '!B19+F19</f>
        <v>469006.5</v>
      </c>
      <c r="C19" s="75"/>
      <c r="D19" s="46" t="s">
        <v>31</v>
      </c>
      <c r="E19" s="76" t="s">
        <v>32</v>
      </c>
      <c r="F19" s="78">
        <v>1006.5</v>
      </c>
      <c r="H19" s="72"/>
    </row>
    <row r="20" spans="1:8" ht="23.25">
      <c r="A20" s="74"/>
      <c r="B20" s="93">
        <f>+'[3]หน้า 2 '!B20+F20</f>
        <v>0</v>
      </c>
      <c r="C20" s="75"/>
      <c r="D20" s="46" t="s">
        <v>73</v>
      </c>
      <c r="E20" s="76" t="s">
        <v>74</v>
      </c>
      <c r="F20" s="78">
        <v>0</v>
      </c>
      <c r="H20" s="72"/>
    </row>
    <row r="21" spans="1:8" ht="23.25">
      <c r="A21" s="74"/>
      <c r="B21" s="93">
        <f>+'[3]หน้า 2 '!B21+F21</f>
        <v>25833.52</v>
      </c>
      <c r="C21" s="75"/>
      <c r="D21" s="46" t="s">
        <v>33</v>
      </c>
      <c r="E21" s="76" t="s">
        <v>34</v>
      </c>
      <c r="F21" s="100">
        <f>45290-45290</f>
        <v>0</v>
      </c>
      <c r="H21" s="72"/>
    </row>
    <row r="22" spans="1:8" ht="23.25">
      <c r="A22" s="74"/>
      <c r="B22" s="93">
        <f>+'[3]หน้า 2 '!B22+F22</f>
        <v>10274.4</v>
      </c>
      <c r="C22" s="75"/>
      <c r="D22" s="46" t="s">
        <v>35</v>
      </c>
      <c r="E22" s="76" t="s">
        <v>36</v>
      </c>
      <c r="F22" s="78">
        <v>2172.81</v>
      </c>
      <c r="H22" s="72"/>
    </row>
    <row r="23" spans="1:8" ht="23.25">
      <c r="A23" s="74"/>
      <c r="B23" s="93">
        <f>+'[3]หน้า 2 '!B23+F23</f>
        <v>0</v>
      </c>
      <c r="C23" s="75"/>
      <c r="D23" s="46" t="s">
        <v>37</v>
      </c>
      <c r="E23" s="76" t="s">
        <v>38</v>
      </c>
      <c r="F23" s="74">
        <v>0</v>
      </c>
      <c r="H23" s="72"/>
    </row>
    <row r="24" spans="1:8" ht="23.25">
      <c r="A24" s="74"/>
      <c r="B24" s="93">
        <f>+'[3]หน้า 2 '!B24+F24</f>
        <v>0</v>
      </c>
      <c r="C24" s="75"/>
      <c r="D24" s="46" t="s">
        <v>39</v>
      </c>
      <c r="E24" s="76" t="s">
        <v>40</v>
      </c>
      <c r="F24" s="74">
        <v>0</v>
      </c>
      <c r="H24" s="72"/>
    </row>
    <row r="25" spans="1:8" ht="23.25">
      <c r="A25" s="74"/>
      <c r="B25" s="93">
        <f>+'[3]หน้า 2 '!B25+F25</f>
        <v>0</v>
      </c>
      <c r="C25" s="75"/>
      <c r="D25" s="46" t="s">
        <v>41</v>
      </c>
      <c r="E25" s="76" t="s">
        <v>42</v>
      </c>
      <c r="F25" s="74">
        <v>0</v>
      </c>
      <c r="H25" s="72"/>
    </row>
    <row r="26" spans="1:8" ht="23.25">
      <c r="A26" s="74"/>
      <c r="B26" s="93">
        <f>+'[3]หน้า 2 '!B26+F26</f>
        <v>75160</v>
      </c>
      <c r="C26" s="75"/>
      <c r="D26" s="46" t="s">
        <v>75</v>
      </c>
      <c r="E26" s="76" t="s">
        <v>42</v>
      </c>
      <c r="F26" s="74">
        <v>12600</v>
      </c>
      <c r="H26" s="72"/>
    </row>
    <row r="27" spans="1:8" ht="23.25">
      <c r="A27" s="74"/>
      <c r="B27" s="93">
        <f>+'[3]หน้า 2 '!B27+F27</f>
        <v>12000</v>
      </c>
      <c r="C27" s="75"/>
      <c r="D27" s="46" t="s">
        <v>76</v>
      </c>
      <c r="E27" s="76" t="s">
        <v>42</v>
      </c>
      <c r="F27" s="74">
        <v>2000</v>
      </c>
      <c r="H27" s="72"/>
    </row>
    <row r="28" spans="1:8" ht="23.25">
      <c r="A28" s="74"/>
      <c r="B28" s="93">
        <f>+'[3]หน้า 2 '!B28+F28</f>
        <v>308400</v>
      </c>
      <c r="C28" s="75"/>
      <c r="D28" s="46" t="s">
        <v>77</v>
      </c>
      <c r="E28" s="76" t="s">
        <v>42</v>
      </c>
      <c r="F28" s="74">
        <v>51400</v>
      </c>
      <c r="H28" s="72"/>
    </row>
    <row r="29" spans="1:8" ht="23.25">
      <c r="A29" s="74"/>
      <c r="B29" s="93">
        <f>+'[3]หน้า 2 '!B29+F29</f>
        <v>31941.5</v>
      </c>
      <c r="C29" s="75"/>
      <c r="D29" s="46" t="s">
        <v>78</v>
      </c>
      <c r="E29" s="76" t="s">
        <v>42</v>
      </c>
      <c r="F29" s="74">
        <v>2250</v>
      </c>
      <c r="H29" s="72"/>
    </row>
    <row r="30" spans="1:8" ht="23.25">
      <c r="A30" s="74"/>
      <c r="B30" s="93">
        <f>+'[3]หน้า 2 '!B30+F30</f>
        <v>158004.12</v>
      </c>
      <c r="C30" s="75"/>
      <c r="D30" s="46" t="s">
        <v>47</v>
      </c>
      <c r="E30" s="76"/>
      <c r="F30" s="100">
        <v>24328.12</v>
      </c>
      <c r="H30" s="72"/>
    </row>
    <row r="31" spans="1:8" ht="23.25">
      <c r="A31" s="74"/>
      <c r="B31" s="93">
        <f>+'[3]หน้า 2 '!B31+F31</f>
        <v>743850</v>
      </c>
      <c r="C31" s="70"/>
      <c r="D31" s="44" t="s">
        <v>30</v>
      </c>
      <c r="E31" s="45"/>
      <c r="F31" s="74">
        <v>0</v>
      </c>
      <c r="H31" s="72"/>
    </row>
    <row r="32" spans="1:8" ht="23.25">
      <c r="A32" s="74"/>
      <c r="B32" s="93">
        <f>707500+F32+141500</f>
        <v>849000</v>
      </c>
      <c r="C32" s="70"/>
      <c r="D32" s="191" t="s">
        <v>95</v>
      </c>
      <c r="E32" s="45"/>
      <c r="F32" s="74">
        <v>0</v>
      </c>
      <c r="H32" s="72"/>
    </row>
    <row r="33" spans="1:8" ht="23.25">
      <c r="A33" s="74"/>
      <c r="B33" s="93">
        <f>34440+F33</f>
        <v>34440</v>
      </c>
      <c r="C33" s="70"/>
      <c r="D33" s="190" t="s">
        <v>94</v>
      </c>
      <c r="E33" s="45"/>
      <c r="F33" s="101">
        <v>0</v>
      </c>
      <c r="H33" s="72"/>
    </row>
    <row r="34" spans="1:8" ht="23.25">
      <c r="A34" s="74"/>
      <c r="B34" s="113">
        <f>SUM(B17:B33)</f>
        <v>2739820.04</v>
      </c>
      <c r="C34" s="75"/>
      <c r="D34" s="46"/>
      <c r="E34" s="76"/>
      <c r="F34" s="113">
        <f>SUM(F17:F33)</f>
        <v>451767.43</v>
      </c>
      <c r="H34" s="72"/>
    </row>
    <row r="35" spans="1:8" s="7" customFormat="1" ht="24" thickBot="1">
      <c r="A35" s="114"/>
      <c r="B35" s="115">
        <f>+B16+B34</f>
        <v>9390971.620000001</v>
      </c>
      <c r="C35" s="244" t="s">
        <v>79</v>
      </c>
      <c r="D35" s="245"/>
      <c r="E35" s="116"/>
      <c r="F35" s="115">
        <f>+F16+F34</f>
        <v>1562236.2</v>
      </c>
      <c r="H35" s="117"/>
    </row>
    <row r="36" spans="1:8" ht="24" thickTop="1">
      <c r="A36" s="74"/>
      <c r="B36" s="71">
        <f>+'หน้า 1'!B42-'หน้า 2 '!B35</f>
        <v>4574370.699999999</v>
      </c>
      <c r="C36" s="246" t="s">
        <v>80</v>
      </c>
      <c r="D36" s="247"/>
      <c r="E36" s="76"/>
      <c r="F36" s="69">
        <f>+'หน้า 1'!E42-'หน้า 2 '!F35</f>
        <v>3821457.339999999</v>
      </c>
      <c r="H36" s="72"/>
    </row>
    <row r="37" spans="1:8" ht="20.25" customHeight="1">
      <c r="A37" s="74"/>
      <c r="B37" s="74"/>
      <c r="C37" s="75"/>
      <c r="D37" s="46" t="s">
        <v>81</v>
      </c>
      <c r="E37" s="76"/>
      <c r="F37" s="74"/>
      <c r="H37" s="72"/>
    </row>
    <row r="38" spans="1:8" ht="23.25">
      <c r="A38" s="81"/>
      <c r="C38" s="248" t="s">
        <v>82</v>
      </c>
      <c r="D38" s="249"/>
      <c r="E38" s="82"/>
      <c r="F38" s="74"/>
      <c r="H38" s="83"/>
    </row>
    <row r="39" spans="1:8" s="111" customFormat="1" ht="32.25" customHeight="1" thickBot="1">
      <c r="A39" s="108"/>
      <c r="B39" s="109">
        <f>'หน้า 1'!B9+'หน้า 1'!B42-'หน้า 2 '!B35</f>
        <v>17575226.79000001</v>
      </c>
      <c r="C39" s="239" t="s">
        <v>83</v>
      </c>
      <c r="D39" s="240"/>
      <c r="E39" s="110"/>
      <c r="F39" s="109">
        <f>+'หน้า 1'!E9+'หน้า 1'!E42-'หน้า 2 '!F35</f>
        <v>17575226.79000001</v>
      </c>
      <c r="H39" s="112">
        <f>'[4]31.03  '!$H$29</f>
        <v>17575226.79000001</v>
      </c>
    </row>
    <row r="40" spans="1:6" ht="9" customHeight="1" thickTop="1">
      <c r="A40" s="84"/>
      <c r="B40" s="72"/>
      <c r="C40" s="72"/>
      <c r="D40" s="85" t="s">
        <v>12</v>
      </c>
      <c r="E40" s="72"/>
      <c r="F40" s="86"/>
    </row>
    <row r="41" spans="1:9" ht="52.5" customHeight="1">
      <c r="A41" s="250" t="s">
        <v>84</v>
      </c>
      <c r="B41" s="251"/>
      <c r="C41" s="251" t="s">
        <v>85</v>
      </c>
      <c r="D41" s="251"/>
      <c r="E41" s="251" t="s">
        <v>86</v>
      </c>
      <c r="F41" s="252"/>
      <c r="H41" s="87">
        <f>F39-B39</f>
        <v>0</v>
      </c>
      <c r="I41" s="73">
        <f>+F39-H39</f>
        <v>0</v>
      </c>
    </row>
    <row r="42" spans="1:6" ht="21.75" customHeight="1">
      <c r="A42" s="250" t="s">
        <v>87</v>
      </c>
      <c r="B42" s="251"/>
      <c r="C42" s="251" t="s">
        <v>88</v>
      </c>
      <c r="D42" s="251"/>
      <c r="E42" s="251" t="s">
        <v>91</v>
      </c>
      <c r="F42" s="252"/>
    </row>
    <row r="43" spans="1:6" ht="21.75" customHeight="1">
      <c r="A43" s="250" t="s">
        <v>163</v>
      </c>
      <c r="B43" s="251"/>
      <c r="C43" s="251" t="s">
        <v>89</v>
      </c>
      <c r="D43" s="251"/>
      <c r="E43" s="251" t="s">
        <v>90</v>
      </c>
      <c r="F43" s="252"/>
    </row>
    <row r="44" spans="1:6" ht="23.25">
      <c r="A44" s="88"/>
      <c r="B44" s="89"/>
      <c r="C44" s="89"/>
      <c r="D44" s="90"/>
      <c r="E44" s="253"/>
      <c r="F44" s="254"/>
    </row>
    <row r="45" spans="4:8" ht="23.25">
      <c r="D45" s="73"/>
      <c r="H45" s="92"/>
    </row>
  </sheetData>
  <sheetProtection/>
  <mergeCells count="16">
    <mergeCell ref="A43:B43"/>
    <mergeCell ref="C43:D43"/>
    <mergeCell ref="E43:F43"/>
    <mergeCell ref="E44:F44"/>
    <mergeCell ref="A41:B41"/>
    <mergeCell ref="C41:D41"/>
    <mergeCell ref="E41:F41"/>
    <mergeCell ref="A42:B42"/>
    <mergeCell ref="C42:D42"/>
    <mergeCell ref="E42:F42"/>
    <mergeCell ref="C39:D39"/>
    <mergeCell ref="A1:B1"/>
    <mergeCell ref="D1:D2"/>
    <mergeCell ref="C35:D35"/>
    <mergeCell ref="C36:D36"/>
    <mergeCell ref="C38:D38"/>
  </mergeCells>
  <printOptions/>
  <pageMargins left="0.3937007874015748" right="0.15748031496062992" top="0.25" bottom="0.1968503937007874" header="0.23" footer="0.1574803149606299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6"/>
  <sheetViews>
    <sheetView tabSelected="1" zoomScalePageLayoutView="0" workbookViewId="0" topLeftCell="A40">
      <selection activeCell="R7" sqref="R7"/>
    </sheetView>
  </sheetViews>
  <sheetFormatPr defaultColWidth="9.140625" defaultRowHeight="12.75"/>
  <cols>
    <col min="1" max="1" width="1.7109375" style="147" customWidth="1"/>
    <col min="2" max="5" width="9.140625" style="147" customWidth="1"/>
    <col min="6" max="6" width="8.421875" style="147" customWidth="1"/>
    <col min="7" max="7" width="9.421875" style="182" customWidth="1"/>
    <col min="8" max="8" width="13.57421875" style="126" customWidth="1"/>
    <col min="9" max="14" width="10.7109375" style="209" customWidth="1"/>
    <col min="15" max="15" width="13.7109375" style="126" customWidth="1"/>
    <col min="16" max="16" width="14.8515625" style="146" customWidth="1"/>
    <col min="17" max="17" width="12.7109375" style="146" bestFit="1" customWidth="1"/>
    <col min="18" max="49" width="9.140625" style="146" customWidth="1"/>
    <col min="50" max="16384" width="9.140625" style="147" customWidth="1"/>
  </cols>
  <sheetData>
    <row r="1" spans="1:49" s="129" customFormat="1" ht="26.25">
      <c r="A1" s="255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</row>
    <row r="2" spans="1:49" s="129" customFormat="1" ht="26.25">
      <c r="A2" s="255" t="s">
        <v>165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</row>
    <row r="3" spans="1:49" s="129" customFormat="1" ht="26.25">
      <c r="A3" s="256" t="s">
        <v>173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</row>
    <row r="4" spans="1:49" s="129" customFormat="1" ht="23.25">
      <c r="A4" s="257"/>
      <c r="B4" s="257"/>
      <c r="C4" s="257"/>
      <c r="D4" s="257"/>
      <c r="E4" s="257"/>
      <c r="F4" s="257"/>
      <c r="G4" s="258" t="s">
        <v>96</v>
      </c>
      <c r="H4" s="118" t="s">
        <v>7</v>
      </c>
      <c r="I4" s="259">
        <v>238414</v>
      </c>
      <c r="J4" s="259">
        <v>238445</v>
      </c>
      <c r="K4" s="259">
        <v>238475</v>
      </c>
      <c r="L4" s="259">
        <v>238506</v>
      </c>
      <c r="M4" s="259">
        <v>238537</v>
      </c>
      <c r="N4" s="259">
        <v>238565</v>
      </c>
      <c r="O4" s="260" t="s">
        <v>97</v>
      </c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</row>
    <row r="5" spans="1:49" s="129" customFormat="1" ht="23.25">
      <c r="A5" s="257"/>
      <c r="B5" s="257"/>
      <c r="C5" s="257"/>
      <c r="D5" s="257"/>
      <c r="E5" s="257"/>
      <c r="F5" s="257"/>
      <c r="G5" s="258"/>
      <c r="H5" s="196" t="s">
        <v>172</v>
      </c>
      <c r="I5" s="259"/>
      <c r="J5" s="259"/>
      <c r="K5" s="259"/>
      <c r="L5" s="259"/>
      <c r="M5" s="259"/>
      <c r="N5" s="259"/>
      <c r="O5" s="260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</row>
    <row r="6" spans="1:49" s="131" customFormat="1" ht="23.25">
      <c r="A6" s="132" t="s">
        <v>26</v>
      </c>
      <c r="B6" s="133"/>
      <c r="C6" s="133"/>
      <c r="D6" s="133"/>
      <c r="E6" s="133"/>
      <c r="F6" s="134"/>
      <c r="G6" s="135"/>
      <c r="H6" s="118"/>
      <c r="I6" s="198"/>
      <c r="J6" s="198"/>
      <c r="K6" s="198"/>
      <c r="L6" s="198"/>
      <c r="M6" s="198"/>
      <c r="N6" s="198"/>
      <c r="O6" s="118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</row>
    <row r="7" spans="1:49" s="131" customFormat="1" ht="23.25">
      <c r="A7" s="136"/>
      <c r="B7" s="137" t="s">
        <v>98</v>
      </c>
      <c r="C7" s="138"/>
      <c r="D7" s="138"/>
      <c r="E7" s="138"/>
      <c r="F7" s="139"/>
      <c r="G7" s="140"/>
      <c r="H7" s="119"/>
      <c r="I7" s="199"/>
      <c r="J7" s="199"/>
      <c r="K7" s="199"/>
      <c r="L7" s="199"/>
      <c r="M7" s="199"/>
      <c r="N7" s="199"/>
      <c r="O7" s="119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</row>
    <row r="8" spans="1:16" ht="23.25">
      <c r="A8" s="141"/>
      <c r="B8" s="142" t="s">
        <v>99</v>
      </c>
      <c r="C8" s="143"/>
      <c r="D8" s="143"/>
      <c r="E8" s="143"/>
      <c r="F8" s="144"/>
      <c r="G8" s="145" t="s">
        <v>100</v>
      </c>
      <c r="H8" s="120">
        <v>150000</v>
      </c>
      <c r="I8" s="200"/>
      <c r="J8" s="200"/>
      <c r="K8" s="200"/>
      <c r="L8" s="200">
        <v>54524.87</v>
      </c>
      <c r="M8" s="200">
        <v>49038.45</v>
      </c>
      <c r="N8" s="200">
        <v>43452.65</v>
      </c>
      <c r="O8" s="120">
        <f>SUM(I8:N8)</f>
        <v>147015.97</v>
      </c>
      <c r="P8" s="187"/>
    </row>
    <row r="9" spans="1:17" ht="23.25">
      <c r="A9" s="148"/>
      <c r="B9" s="149" t="s">
        <v>101</v>
      </c>
      <c r="C9" s="150"/>
      <c r="D9" s="150"/>
      <c r="E9" s="150"/>
      <c r="F9" s="151"/>
      <c r="G9" s="152" t="s">
        <v>102</v>
      </c>
      <c r="H9" s="120">
        <v>50000</v>
      </c>
      <c r="I9" s="200"/>
      <c r="J9" s="200">
        <v>2205.96</v>
      </c>
      <c r="K9" s="200">
        <v>408.33</v>
      </c>
      <c r="L9" s="200">
        <v>5976.53</v>
      </c>
      <c r="M9" s="200">
        <v>15694.41</v>
      </c>
      <c r="N9" s="200">
        <v>4540.26</v>
      </c>
      <c r="O9" s="120">
        <f>SUM(I9:N9)</f>
        <v>28825.489999999998</v>
      </c>
      <c r="P9" s="187"/>
      <c r="Q9" s="146" t="s">
        <v>12</v>
      </c>
    </row>
    <row r="10" spans="1:16" ht="23.25">
      <c r="A10" s="148"/>
      <c r="B10" s="150" t="s">
        <v>103</v>
      </c>
      <c r="C10" s="149"/>
      <c r="D10" s="149"/>
      <c r="E10" s="149"/>
      <c r="F10" s="153"/>
      <c r="G10" s="152" t="s">
        <v>104</v>
      </c>
      <c r="H10" s="120">
        <v>57000</v>
      </c>
      <c r="I10" s="200"/>
      <c r="J10" s="200">
        <v>600</v>
      </c>
      <c r="K10" s="200"/>
      <c r="L10" s="200">
        <v>12657</v>
      </c>
      <c r="M10" s="200">
        <v>15006</v>
      </c>
      <c r="N10" s="200">
        <v>45492</v>
      </c>
      <c r="O10" s="120">
        <f>SUM(I10:N10)</f>
        <v>73755</v>
      </c>
      <c r="P10" s="187"/>
    </row>
    <row r="11" spans="1:16" ht="23.25">
      <c r="A11" s="148"/>
      <c r="B11" s="150" t="s">
        <v>105</v>
      </c>
      <c r="C11" s="149"/>
      <c r="D11" s="149"/>
      <c r="E11" s="149"/>
      <c r="F11" s="153"/>
      <c r="G11" s="152" t="s">
        <v>106</v>
      </c>
      <c r="H11" s="120">
        <f>+'[2]หมายเหตุประกอบ 1'!H10</f>
        <v>0</v>
      </c>
      <c r="I11" s="200"/>
      <c r="J11" s="200"/>
      <c r="K11" s="200"/>
      <c r="L11" s="200"/>
      <c r="M11" s="200"/>
      <c r="N11" s="200"/>
      <c r="O11" s="120">
        <f>SUM(I11:N11)</f>
        <v>0</v>
      </c>
      <c r="P11" s="187"/>
    </row>
    <row r="12" spans="1:63" s="146" customFormat="1" ht="23.25">
      <c r="A12" s="173"/>
      <c r="B12" s="174" t="s">
        <v>166</v>
      </c>
      <c r="C12" s="174"/>
      <c r="D12" s="174"/>
      <c r="E12" s="174"/>
      <c r="F12" s="175"/>
      <c r="G12" s="176" t="s">
        <v>107</v>
      </c>
      <c r="H12" s="120">
        <v>440</v>
      </c>
      <c r="I12" s="200"/>
      <c r="J12" s="200"/>
      <c r="K12" s="200"/>
      <c r="L12" s="200"/>
      <c r="M12" s="200"/>
      <c r="N12" s="200"/>
      <c r="O12" s="120">
        <f>SUM(I12:N12)</f>
        <v>0</v>
      </c>
      <c r="P12" s="18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</row>
    <row r="13" spans="1:49" s="159" customFormat="1" ht="23.25">
      <c r="A13" s="261" t="s">
        <v>108</v>
      </c>
      <c r="B13" s="262"/>
      <c r="C13" s="262"/>
      <c r="D13" s="262"/>
      <c r="E13" s="262"/>
      <c r="F13" s="263"/>
      <c r="G13" s="177"/>
      <c r="H13" s="122">
        <f>SUM(H8:H12)</f>
        <v>257440</v>
      </c>
      <c r="I13" s="201">
        <f aca="true" t="shared" si="0" ref="I13:O13">SUM(I8:I12)</f>
        <v>0</v>
      </c>
      <c r="J13" s="201">
        <f t="shared" si="0"/>
        <v>2805.96</v>
      </c>
      <c r="K13" s="201">
        <f t="shared" si="0"/>
        <v>408.33</v>
      </c>
      <c r="L13" s="201">
        <f t="shared" si="0"/>
        <v>73158.4</v>
      </c>
      <c r="M13" s="201">
        <f t="shared" si="0"/>
        <v>79738.86</v>
      </c>
      <c r="N13" s="201">
        <f t="shared" si="0"/>
        <v>93484.91</v>
      </c>
      <c r="O13" s="122">
        <f t="shared" si="0"/>
        <v>249596.46</v>
      </c>
      <c r="P13" s="187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</row>
    <row r="14" spans="1:49" s="131" customFormat="1" ht="23.25">
      <c r="A14" s="136"/>
      <c r="B14" s="137" t="s">
        <v>109</v>
      </c>
      <c r="C14" s="138"/>
      <c r="D14" s="138"/>
      <c r="E14" s="138"/>
      <c r="F14" s="139"/>
      <c r="G14" s="140"/>
      <c r="H14" s="123"/>
      <c r="I14" s="202"/>
      <c r="J14" s="202"/>
      <c r="K14" s="202"/>
      <c r="L14" s="202"/>
      <c r="M14" s="202"/>
      <c r="N14" s="202"/>
      <c r="O14" s="123"/>
      <c r="P14" s="187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1:16" ht="23.25">
      <c r="A15" s="141"/>
      <c r="B15" s="197" t="s">
        <v>110</v>
      </c>
      <c r="C15" s="142"/>
      <c r="D15" s="142"/>
      <c r="E15" s="142"/>
      <c r="F15" s="165"/>
      <c r="G15" s="145" t="s">
        <v>111</v>
      </c>
      <c r="H15" s="120">
        <f>+'[2]หมายเหตุประกอบ 1'!H14</f>
        <v>0</v>
      </c>
      <c r="I15" s="200"/>
      <c r="J15" s="200"/>
      <c r="K15" s="200"/>
      <c r="L15" s="200"/>
      <c r="M15" s="200"/>
      <c r="N15" s="200"/>
      <c r="O15" s="120">
        <f>SUM(I15:M15)</f>
        <v>0</v>
      </c>
      <c r="P15" s="187"/>
    </row>
    <row r="16" spans="1:16" ht="23.25">
      <c r="A16" s="148"/>
      <c r="B16" s="150" t="s">
        <v>112</v>
      </c>
      <c r="C16" s="149"/>
      <c r="D16" s="149"/>
      <c r="E16" s="149"/>
      <c r="F16" s="153"/>
      <c r="G16" s="152" t="s">
        <v>113</v>
      </c>
      <c r="H16" s="120">
        <v>148460</v>
      </c>
      <c r="I16" s="200">
        <v>3330</v>
      </c>
      <c r="J16" s="200">
        <v>2970</v>
      </c>
      <c r="K16" s="200">
        <v>17470</v>
      </c>
      <c r="L16" s="200">
        <v>17163</v>
      </c>
      <c r="M16" s="200">
        <v>25790</v>
      </c>
      <c r="N16" s="200">
        <v>19190</v>
      </c>
      <c r="O16" s="120">
        <f aca="true" t="shared" si="1" ref="O16:O21">SUM(I16:N16)</f>
        <v>85913</v>
      </c>
      <c r="P16" s="187"/>
    </row>
    <row r="17" spans="1:16" ht="23.25">
      <c r="A17" s="148"/>
      <c r="B17" s="150" t="s">
        <v>120</v>
      </c>
      <c r="C17" s="150"/>
      <c r="D17" s="150"/>
      <c r="E17" s="150"/>
      <c r="F17" s="151"/>
      <c r="G17" s="152" t="s">
        <v>121</v>
      </c>
      <c r="H17" s="120">
        <v>12000</v>
      </c>
      <c r="I17" s="200"/>
      <c r="J17" s="200"/>
      <c r="K17" s="200">
        <v>3000</v>
      </c>
      <c r="L17" s="200">
        <v>3900</v>
      </c>
      <c r="M17" s="200">
        <v>5400</v>
      </c>
      <c r="N17" s="200">
        <v>3200</v>
      </c>
      <c r="O17" s="120">
        <f t="shared" si="1"/>
        <v>15500</v>
      </c>
      <c r="P17" s="187"/>
    </row>
    <row r="18" spans="1:16" ht="23.25">
      <c r="A18" s="148"/>
      <c r="B18" s="150" t="s">
        <v>114</v>
      </c>
      <c r="C18" s="150"/>
      <c r="D18" s="150"/>
      <c r="E18" s="150"/>
      <c r="F18" s="151"/>
      <c r="G18" s="152" t="s">
        <v>115</v>
      </c>
      <c r="H18" s="120">
        <f>+'[2]หมายเหตุประกอบ 1'!H16</f>
        <v>0</v>
      </c>
      <c r="I18" s="200"/>
      <c r="J18" s="200"/>
      <c r="K18" s="200"/>
      <c r="L18" s="200"/>
      <c r="M18" s="200"/>
      <c r="N18" s="200"/>
      <c r="O18" s="120">
        <f t="shared" si="1"/>
        <v>0</v>
      </c>
      <c r="P18" s="187"/>
    </row>
    <row r="19" spans="1:16" ht="23.25">
      <c r="A19" s="148"/>
      <c r="B19" s="150" t="s">
        <v>116</v>
      </c>
      <c r="C19" s="150"/>
      <c r="D19" s="150"/>
      <c r="E19" s="150"/>
      <c r="F19" s="151"/>
      <c r="G19" s="152" t="s">
        <v>117</v>
      </c>
      <c r="H19" s="120">
        <v>140</v>
      </c>
      <c r="I19" s="200"/>
      <c r="J19" s="200">
        <v>20</v>
      </c>
      <c r="K19" s="200"/>
      <c r="L19" s="200"/>
      <c r="M19" s="200">
        <v>10</v>
      </c>
      <c r="N19" s="200">
        <v>70</v>
      </c>
      <c r="O19" s="120">
        <f t="shared" si="1"/>
        <v>100</v>
      </c>
      <c r="P19" s="187"/>
    </row>
    <row r="20" spans="1:16" ht="23.25">
      <c r="A20" s="148"/>
      <c r="B20" s="150" t="s">
        <v>118</v>
      </c>
      <c r="C20" s="150"/>
      <c r="D20" s="150"/>
      <c r="E20" s="150"/>
      <c r="F20" s="151"/>
      <c r="G20" s="152" t="s">
        <v>119</v>
      </c>
      <c r="H20" s="120">
        <v>300</v>
      </c>
      <c r="I20" s="200"/>
      <c r="J20" s="200"/>
      <c r="K20" s="200"/>
      <c r="L20" s="200"/>
      <c r="M20" s="200"/>
      <c r="N20" s="200"/>
      <c r="O20" s="120">
        <f t="shared" si="1"/>
        <v>0</v>
      </c>
      <c r="P20" s="187"/>
    </row>
    <row r="21" spans="1:16" ht="23.25">
      <c r="A21" s="173"/>
      <c r="B21" s="214" t="s">
        <v>122</v>
      </c>
      <c r="C21" s="214"/>
      <c r="D21" s="214"/>
      <c r="E21" s="214"/>
      <c r="F21" s="215"/>
      <c r="G21" s="176" t="s">
        <v>123</v>
      </c>
      <c r="H21" s="167">
        <v>15000</v>
      </c>
      <c r="I21" s="204"/>
      <c r="J21" s="204">
        <v>400</v>
      </c>
      <c r="K21" s="204">
        <v>1300</v>
      </c>
      <c r="L21" s="204">
        <v>6230</v>
      </c>
      <c r="M21" s="204">
        <v>6580</v>
      </c>
      <c r="N21" s="200">
        <v>3050</v>
      </c>
      <c r="O21" s="120">
        <f t="shared" si="1"/>
        <v>17560</v>
      </c>
      <c r="P21" s="187"/>
    </row>
    <row r="22" spans="1:49" s="159" customFormat="1" ht="23.25">
      <c r="A22" s="261" t="s">
        <v>108</v>
      </c>
      <c r="B22" s="262"/>
      <c r="C22" s="262"/>
      <c r="D22" s="262"/>
      <c r="E22" s="262"/>
      <c r="F22" s="263"/>
      <c r="G22" s="177"/>
      <c r="H22" s="166">
        <f>SUM(H15:H21)</f>
        <v>175900</v>
      </c>
      <c r="I22" s="203">
        <f aca="true" t="shared" si="2" ref="I22:O22">SUM(I15:I21)</f>
        <v>3330</v>
      </c>
      <c r="J22" s="203">
        <f t="shared" si="2"/>
        <v>3390</v>
      </c>
      <c r="K22" s="203">
        <f>SUM(K15:K21)</f>
        <v>21770</v>
      </c>
      <c r="L22" s="203">
        <f t="shared" si="2"/>
        <v>27293</v>
      </c>
      <c r="M22" s="203">
        <f t="shared" si="2"/>
        <v>37780</v>
      </c>
      <c r="N22" s="203">
        <f t="shared" si="2"/>
        <v>25510</v>
      </c>
      <c r="O22" s="166">
        <f t="shared" si="2"/>
        <v>119073</v>
      </c>
      <c r="P22" s="187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</row>
    <row r="23" spans="2:16" s="158" customFormat="1" ht="23.25">
      <c r="B23" s="210"/>
      <c r="C23" s="210"/>
      <c r="D23" s="210"/>
      <c r="E23" s="210"/>
      <c r="F23" s="210"/>
      <c r="G23" s="211"/>
      <c r="H23" s="212"/>
      <c r="I23" s="213"/>
      <c r="J23" s="213"/>
      <c r="K23" s="213"/>
      <c r="L23" s="213"/>
      <c r="M23" s="213"/>
      <c r="N23" s="213"/>
      <c r="O23" s="212"/>
      <c r="P23" s="187"/>
    </row>
    <row r="24" spans="1:49" s="129" customFormat="1" ht="23.25" customHeight="1">
      <c r="A24" s="257"/>
      <c r="B24" s="257"/>
      <c r="C24" s="257"/>
      <c r="D24" s="257"/>
      <c r="E24" s="257"/>
      <c r="F24" s="257"/>
      <c r="G24" s="258" t="s">
        <v>96</v>
      </c>
      <c r="H24" s="118" t="s">
        <v>7</v>
      </c>
      <c r="I24" s="259">
        <v>238414</v>
      </c>
      <c r="J24" s="259">
        <v>238445</v>
      </c>
      <c r="K24" s="259">
        <v>238475</v>
      </c>
      <c r="L24" s="259">
        <v>238506</v>
      </c>
      <c r="M24" s="259">
        <v>238537</v>
      </c>
      <c r="N24" s="259">
        <v>238565</v>
      </c>
      <c r="O24" s="260" t="s">
        <v>97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</row>
    <row r="25" spans="1:49" s="129" customFormat="1" ht="23.25" customHeight="1">
      <c r="A25" s="257"/>
      <c r="B25" s="257"/>
      <c r="C25" s="257"/>
      <c r="D25" s="257"/>
      <c r="E25" s="257"/>
      <c r="F25" s="257"/>
      <c r="G25" s="258"/>
      <c r="H25" s="196" t="s">
        <v>172</v>
      </c>
      <c r="I25" s="259"/>
      <c r="J25" s="259"/>
      <c r="K25" s="259"/>
      <c r="L25" s="259"/>
      <c r="M25" s="259"/>
      <c r="N25" s="259"/>
      <c r="O25" s="260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</row>
    <row r="26" spans="1:49" s="131" customFormat="1" ht="23.25">
      <c r="A26" s="160"/>
      <c r="B26" s="161" t="s">
        <v>125</v>
      </c>
      <c r="C26" s="162"/>
      <c r="D26" s="162"/>
      <c r="E26" s="162"/>
      <c r="F26" s="163"/>
      <c r="G26" s="164"/>
      <c r="H26" s="119"/>
      <c r="I26" s="199"/>
      <c r="J26" s="199"/>
      <c r="K26" s="199"/>
      <c r="L26" s="199"/>
      <c r="M26" s="199"/>
      <c r="N26" s="199"/>
      <c r="O26" s="185"/>
      <c r="P26" s="187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</row>
    <row r="27" spans="1:16" ht="23.25">
      <c r="A27" s="141"/>
      <c r="B27" s="143" t="s">
        <v>126</v>
      </c>
      <c r="C27" s="143"/>
      <c r="D27" s="143"/>
      <c r="E27" s="143"/>
      <c r="F27" s="144"/>
      <c r="G27" s="145" t="s">
        <v>127</v>
      </c>
      <c r="H27" s="120">
        <v>6270</v>
      </c>
      <c r="I27" s="200"/>
      <c r="J27" s="200"/>
      <c r="K27" s="200"/>
      <c r="L27" s="200"/>
      <c r="M27" s="200"/>
      <c r="N27" s="200">
        <v>3000</v>
      </c>
      <c r="O27" s="120">
        <f>SUM(I27:N27)</f>
        <v>3000</v>
      </c>
      <c r="P27" s="187"/>
    </row>
    <row r="28" spans="1:63" s="146" customFormat="1" ht="23.25">
      <c r="A28" s="148"/>
      <c r="B28" s="150" t="s">
        <v>128</v>
      </c>
      <c r="C28" s="150"/>
      <c r="D28" s="150"/>
      <c r="E28" s="150"/>
      <c r="F28" s="151"/>
      <c r="G28" s="152" t="s">
        <v>129</v>
      </c>
      <c r="H28" s="167">
        <v>149730</v>
      </c>
      <c r="I28" s="204"/>
      <c r="J28" s="204"/>
      <c r="K28" s="204">
        <v>3140.48</v>
      </c>
      <c r="L28" s="204"/>
      <c r="M28" s="204"/>
      <c r="N28" s="204">
        <v>8167.74</v>
      </c>
      <c r="O28" s="120">
        <f>SUM(I28:N28)</f>
        <v>11308.22</v>
      </c>
      <c r="P28" s="18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</row>
    <row r="29" spans="1:49" s="159" customFormat="1" ht="23.25">
      <c r="A29" s="156"/>
      <c r="B29" s="264" t="s">
        <v>108</v>
      </c>
      <c r="C29" s="264"/>
      <c r="D29" s="264"/>
      <c r="E29" s="264"/>
      <c r="F29" s="265"/>
      <c r="G29" s="157"/>
      <c r="H29" s="166">
        <f>SUM(H27:H28)</f>
        <v>156000</v>
      </c>
      <c r="I29" s="203">
        <f aca="true" t="shared" si="3" ref="I29:O29">SUM(I27:I28)</f>
        <v>0</v>
      </c>
      <c r="J29" s="203">
        <f t="shared" si="3"/>
        <v>0</v>
      </c>
      <c r="K29" s="203">
        <f t="shared" si="3"/>
        <v>3140.48</v>
      </c>
      <c r="L29" s="203">
        <f t="shared" si="3"/>
        <v>0</v>
      </c>
      <c r="M29" s="203">
        <f t="shared" si="3"/>
        <v>0</v>
      </c>
      <c r="N29" s="203">
        <f t="shared" si="3"/>
        <v>11167.74</v>
      </c>
      <c r="O29" s="166">
        <f t="shared" si="3"/>
        <v>14308.22</v>
      </c>
      <c r="P29" s="187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</row>
    <row r="30" spans="1:49" s="131" customFormat="1" ht="23.25">
      <c r="A30" s="160"/>
      <c r="B30" s="161" t="s">
        <v>130</v>
      </c>
      <c r="C30" s="162"/>
      <c r="D30" s="162"/>
      <c r="E30" s="162"/>
      <c r="F30" s="163"/>
      <c r="G30" s="164"/>
      <c r="H30" s="119"/>
      <c r="I30" s="199"/>
      <c r="J30" s="199"/>
      <c r="K30" s="199"/>
      <c r="L30" s="199"/>
      <c r="M30" s="199"/>
      <c r="N30" s="199"/>
      <c r="O30" s="185"/>
      <c r="P30" s="187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</row>
    <row r="31" spans="1:63" s="146" customFormat="1" ht="23.25">
      <c r="A31" s="141"/>
      <c r="B31" s="168" t="s">
        <v>131</v>
      </c>
      <c r="C31" s="168"/>
      <c r="D31" s="168"/>
      <c r="E31" s="168"/>
      <c r="F31" s="169"/>
      <c r="G31" s="145" t="s">
        <v>132</v>
      </c>
      <c r="H31" s="120">
        <v>50000</v>
      </c>
      <c r="I31" s="200"/>
      <c r="J31" s="200"/>
      <c r="K31" s="200"/>
      <c r="L31" s="200"/>
      <c r="M31" s="200">
        <v>24000</v>
      </c>
      <c r="N31" s="200">
        <v>25500</v>
      </c>
      <c r="O31" s="120">
        <f>SUM(I31:N31)</f>
        <v>49500</v>
      </c>
      <c r="P31" s="18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</row>
    <row r="32" spans="1:63" s="146" customFormat="1" ht="23.25">
      <c r="A32" s="148"/>
      <c r="B32" s="154" t="s">
        <v>133</v>
      </c>
      <c r="C32" s="154"/>
      <c r="D32" s="154"/>
      <c r="E32" s="154"/>
      <c r="F32" s="155"/>
      <c r="G32" s="152" t="s">
        <v>134</v>
      </c>
      <c r="H32" s="120">
        <f>+'[2]หมายเหตุประกอบ 1'!H29</f>
        <v>0</v>
      </c>
      <c r="I32" s="200"/>
      <c r="J32" s="200"/>
      <c r="K32" s="200"/>
      <c r="L32" s="200"/>
      <c r="M32" s="200"/>
      <c r="N32" s="200"/>
      <c r="O32" s="120">
        <f>SUM(I32:N32)</f>
        <v>0</v>
      </c>
      <c r="P32" s="18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</row>
    <row r="33" spans="1:63" s="146" customFormat="1" ht="23.25">
      <c r="A33" s="173"/>
      <c r="B33" s="174" t="s">
        <v>135</v>
      </c>
      <c r="C33" s="174"/>
      <c r="D33" s="174"/>
      <c r="E33" s="174"/>
      <c r="F33" s="175"/>
      <c r="G33" s="176" t="s">
        <v>136</v>
      </c>
      <c r="H33" s="120">
        <v>33000</v>
      </c>
      <c r="I33" s="200"/>
      <c r="J33" s="200"/>
      <c r="K33" s="200">
        <v>1080</v>
      </c>
      <c r="L33" s="200">
        <v>1080</v>
      </c>
      <c r="M33" s="200">
        <v>400</v>
      </c>
      <c r="N33" s="200"/>
      <c r="O33" s="120">
        <f>SUM(I33:N33)</f>
        <v>2560</v>
      </c>
      <c r="P33" s="18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</row>
    <row r="34" spans="1:49" s="159" customFormat="1" ht="23.25">
      <c r="A34" s="266" t="s">
        <v>108</v>
      </c>
      <c r="B34" s="266"/>
      <c r="C34" s="266"/>
      <c r="D34" s="266"/>
      <c r="E34" s="266"/>
      <c r="F34" s="266"/>
      <c r="G34" s="177"/>
      <c r="H34" s="122">
        <f>SUM(H31:H33)</f>
        <v>83000</v>
      </c>
      <c r="I34" s="201">
        <f aca="true" t="shared" si="4" ref="I34:N34">SUM(I31:I33)</f>
        <v>0</v>
      </c>
      <c r="J34" s="201">
        <f t="shared" si="4"/>
        <v>0</v>
      </c>
      <c r="K34" s="201">
        <f t="shared" si="4"/>
        <v>1080</v>
      </c>
      <c r="L34" s="201">
        <f t="shared" si="4"/>
        <v>1080</v>
      </c>
      <c r="M34" s="201">
        <f t="shared" si="4"/>
        <v>24400</v>
      </c>
      <c r="N34" s="201">
        <f t="shared" si="4"/>
        <v>25500</v>
      </c>
      <c r="O34" s="122">
        <f>SUM(O31:O33)</f>
        <v>52060</v>
      </c>
      <c r="P34" s="187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</row>
    <row r="35" spans="1:49" s="131" customFormat="1" ht="23.25">
      <c r="A35" s="216" t="s">
        <v>137</v>
      </c>
      <c r="B35" s="138"/>
      <c r="C35" s="138"/>
      <c r="D35" s="138"/>
      <c r="E35" s="138"/>
      <c r="F35" s="139"/>
      <c r="G35" s="140"/>
      <c r="H35" s="118"/>
      <c r="I35" s="198"/>
      <c r="J35" s="198"/>
      <c r="K35" s="198"/>
      <c r="L35" s="198"/>
      <c r="M35" s="198"/>
      <c r="N35" s="198"/>
      <c r="O35" s="185"/>
      <c r="P35" s="187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</row>
    <row r="36" spans="1:49" s="131" customFormat="1" ht="23.25">
      <c r="A36" s="136"/>
      <c r="B36" s="137" t="s">
        <v>138</v>
      </c>
      <c r="C36" s="138"/>
      <c r="D36" s="138"/>
      <c r="E36" s="138"/>
      <c r="F36" s="139"/>
      <c r="G36" s="140"/>
      <c r="H36" s="119"/>
      <c r="I36" s="199"/>
      <c r="J36" s="199"/>
      <c r="K36" s="199"/>
      <c r="L36" s="199"/>
      <c r="M36" s="199"/>
      <c r="N36" s="199"/>
      <c r="O36" s="167"/>
      <c r="P36" s="187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</row>
    <row r="37" spans="1:63" s="146" customFormat="1" ht="23.25">
      <c r="A37" s="141"/>
      <c r="B37" s="168" t="s">
        <v>139</v>
      </c>
      <c r="C37" s="168"/>
      <c r="D37" s="168"/>
      <c r="E37" s="168"/>
      <c r="F37" s="169"/>
      <c r="G37" s="145" t="s">
        <v>140</v>
      </c>
      <c r="H37" s="120">
        <v>3850094</v>
      </c>
      <c r="I37" s="200">
        <v>149020.28</v>
      </c>
      <c r="J37" s="200">
        <v>150411.77</v>
      </c>
      <c r="K37" s="200">
        <v>167197.76</v>
      </c>
      <c r="L37" s="200">
        <v>162029.87</v>
      </c>
      <c r="M37" s="200">
        <v>116860.21</v>
      </c>
      <c r="N37" s="200">
        <v>201719.85</v>
      </c>
      <c r="O37" s="120">
        <f>SUM(I37:N37)</f>
        <v>947239.7399999999</v>
      </c>
      <c r="P37" s="18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</row>
    <row r="38" spans="1:63" s="146" customFormat="1" ht="23.25">
      <c r="A38" s="148"/>
      <c r="B38" s="154" t="s">
        <v>141</v>
      </c>
      <c r="C38" s="154"/>
      <c r="D38" s="154"/>
      <c r="E38" s="154"/>
      <c r="F38" s="155"/>
      <c r="G38" s="152" t="s">
        <v>140</v>
      </c>
      <c r="H38" s="120">
        <v>2258036</v>
      </c>
      <c r="I38" s="200">
        <v>708721.98</v>
      </c>
      <c r="J38" s="200"/>
      <c r="K38" s="200">
        <v>799461.54</v>
      </c>
      <c r="L38" s="200"/>
      <c r="M38" s="200"/>
      <c r="N38" s="200">
        <v>815040.18</v>
      </c>
      <c r="O38" s="120">
        <f aca="true" t="shared" si="5" ref="O38:O46">SUM(I38:N38)</f>
        <v>2323223.7</v>
      </c>
      <c r="P38" s="18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</row>
    <row r="39" spans="1:63" s="146" customFormat="1" ht="23.25">
      <c r="A39" s="148"/>
      <c r="B39" s="154" t="s">
        <v>142</v>
      </c>
      <c r="C39" s="154"/>
      <c r="D39" s="154"/>
      <c r="E39" s="154"/>
      <c r="F39" s="155"/>
      <c r="G39" s="152" t="s">
        <v>143</v>
      </c>
      <c r="H39" s="120">
        <v>20654</v>
      </c>
      <c r="I39" s="200"/>
      <c r="J39" s="200">
        <v>2170.89</v>
      </c>
      <c r="K39" s="200"/>
      <c r="L39" s="200">
        <v>1910.6</v>
      </c>
      <c r="M39" s="200">
        <v>1312.86</v>
      </c>
      <c r="N39" s="200">
        <v>977.79</v>
      </c>
      <c r="O39" s="120">
        <f t="shared" si="5"/>
        <v>6372.139999999999</v>
      </c>
      <c r="P39" s="18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</row>
    <row r="40" spans="1:63" s="146" customFormat="1" ht="23.25">
      <c r="A40" s="148"/>
      <c r="B40" s="154" t="s">
        <v>144</v>
      </c>
      <c r="C40" s="154"/>
      <c r="D40" s="154"/>
      <c r="E40" s="154"/>
      <c r="F40" s="155"/>
      <c r="G40" s="152" t="s">
        <v>145</v>
      </c>
      <c r="H40" s="120">
        <v>889310</v>
      </c>
      <c r="I40" s="200">
        <v>67388.04</v>
      </c>
      <c r="J40" s="200">
        <v>71328.65</v>
      </c>
      <c r="K40" s="200">
        <v>86975.63</v>
      </c>
      <c r="L40" s="200">
        <v>97555.53</v>
      </c>
      <c r="M40" s="200">
        <v>84552.88</v>
      </c>
      <c r="N40" s="200">
        <v>85173.98</v>
      </c>
      <c r="O40" s="120">
        <f t="shared" si="5"/>
        <v>492974.70999999996</v>
      </c>
      <c r="P40" s="18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</row>
    <row r="41" spans="1:63" s="146" customFormat="1" ht="23.25">
      <c r="A41" s="148"/>
      <c r="B41" s="154" t="s">
        <v>146</v>
      </c>
      <c r="C41" s="154"/>
      <c r="D41" s="154"/>
      <c r="E41" s="154"/>
      <c r="F41" s="155"/>
      <c r="G41" s="152" t="s">
        <v>147</v>
      </c>
      <c r="H41" s="120">
        <v>1745191</v>
      </c>
      <c r="I41" s="200">
        <v>197098.98</v>
      </c>
      <c r="J41" s="200">
        <v>224130.88</v>
      </c>
      <c r="K41" s="200">
        <v>204781.76</v>
      </c>
      <c r="L41" s="200">
        <v>233517.13</v>
      </c>
      <c r="M41" s="200">
        <v>234993.37</v>
      </c>
      <c r="N41" s="200">
        <v>207911.94</v>
      </c>
      <c r="O41" s="120">
        <f t="shared" si="5"/>
        <v>1302434.06</v>
      </c>
      <c r="P41" s="18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</row>
    <row r="42" spans="1:63" s="146" customFormat="1" ht="23.25">
      <c r="A42" s="148"/>
      <c r="B42" s="154" t="s">
        <v>148</v>
      </c>
      <c r="C42" s="154"/>
      <c r="D42" s="154"/>
      <c r="E42" s="154"/>
      <c r="F42" s="155"/>
      <c r="G42" s="152" t="s">
        <v>149</v>
      </c>
      <c r="H42" s="120">
        <v>35881</v>
      </c>
      <c r="I42" s="200"/>
      <c r="J42" s="200"/>
      <c r="K42" s="200">
        <v>6241.26</v>
      </c>
      <c r="L42" s="200"/>
      <c r="M42" s="200"/>
      <c r="N42" s="200">
        <v>12256.39</v>
      </c>
      <c r="O42" s="120">
        <f t="shared" si="5"/>
        <v>18497.65</v>
      </c>
      <c r="P42" s="18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</row>
    <row r="43" spans="1:63" s="146" customFormat="1" ht="23.25">
      <c r="A43" s="148"/>
      <c r="B43" s="154" t="s">
        <v>150</v>
      </c>
      <c r="C43" s="154"/>
      <c r="D43" s="154"/>
      <c r="E43" s="154"/>
      <c r="F43" s="155"/>
      <c r="G43" s="152" t="s">
        <v>151</v>
      </c>
      <c r="H43" s="120">
        <v>42729</v>
      </c>
      <c r="I43" s="200"/>
      <c r="J43" s="200"/>
      <c r="K43" s="200">
        <v>10290.65</v>
      </c>
      <c r="L43" s="200"/>
      <c r="M43" s="200">
        <v>11382.68</v>
      </c>
      <c r="N43" s="200"/>
      <c r="O43" s="120">
        <f t="shared" si="5"/>
        <v>21673.33</v>
      </c>
      <c r="P43" s="18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</row>
    <row r="44" spans="1:63" s="146" customFormat="1" ht="23.25">
      <c r="A44" s="148"/>
      <c r="B44" s="154" t="s">
        <v>152</v>
      </c>
      <c r="C44" s="154"/>
      <c r="D44" s="154"/>
      <c r="E44" s="154"/>
      <c r="F44" s="155"/>
      <c r="G44" s="152" t="s">
        <v>153</v>
      </c>
      <c r="H44" s="120">
        <v>999165</v>
      </c>
      <c r="I44" s="200"/>
      <c r="J44" s="200"/>
      <c r="K44" s="200"/>
      <c r="L44" s="200"/>
      <c r="M44" s="200">
        <v>479901</v>
      </c>
      <c r="N44" s="200"/>
      <c r="O44" s="120">
        <f t="shared" si="5"/>
        <v>479901</v>
      </c>
      <c r="P44" s="18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</row>
    <row r="45" spans="1:63" s="146" customFormat="1" ht="23.25">
      <c r="A45" s="148"/>
      <c r="B45" s="154" t="s">
        <v>154</v>
      </c>
      <c r="C45" s="154"/>
      <c r="D45" s="154"/>
      <c r="E45" s="154"/>
      <c r="F45" s="155"/>
      <c r="G45" s="152" t="s">
        <v>155</v>
      </c>
      <c r="H45" s="120">
        <f>+'[2]หมายเหตุประกอบ 1'!H42</f>
        <v>0</v>
      </c>
      <c r="I45" s="200"/>
      <c r="J45" s="200"/>
      <c r="K45" s="200"/>
      <c r="L45" s="200"/>
      <c r="M45" s="200"/>
      <c r="N45" s="200"/>
      <c r="O45" s="120">
        <f t="shared" si="5"/>
        <v>0</v>
      </c>
      <c r="P45" s="18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</row>
    <row r="46" spans="1:63" s="146" customFormat="1" ht="23.25">
      <c r="A46" s="173"/>
      <c r="B46" s="174" t="s">
        <v>124</v>
      </c>
      <c r="C46" s="174"/>
      <c r="D46" s="174"/>
      <c r="E46" s="174"/>
      <c r="F46" s="175"/>
      <c r="G46" s="176" t="s">
        <v>169</v>
      </c>
      <c r="H46" s="167">
        <v>100</v>
      </c>
      <c r="I46" s="204"/>
      <c r="J46" s="204"/>
      <c r="K46" s="204"/>
      <c r="L46" s="204">
        <v>925.38</v>
      </c>
      <c r="M46" s="204">
        <v>141.62</v>
      </c>
      <c r="N46" s="204">
        <v>124.16</v>
      </c>
      <c r="O46" s="120">
        <f t="shared" si="5"/>
        <v>1191.16</v>
      </c>
      <c r="P46" s="18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</row>
    <row r="47" spans="1:49" s="159" customFormat="1" ht="23.25">
      <c r="A47" s="261" t="s">
        <v>108</v>
      </c>
      <c r="B47" s="262"/>
      <c r="C47" s="262"/>
      <c r="D47" s="262"/>
      <c r="E47" s="262"/>
      <c r="F47" s="263"/>
      <c r="G47" s="177"/>
      <c r="H47" s="122">
        <f>SUM(H37:H46)</f>
        <v>9841160</v>
      </c>
      <c r="I47" s="201">
        <f aca="true" t="shared" si="6" ref="I47:N47">SUM(I37:I46)</f>
        <v>1122229.28</v>
      </c>
      <c r="J47" s="201">
        <f t="shared" si="6"/>
        <v>448042.19</v>
      </c>
      <c r="K47" s="201">
        <f t="shared" si="6"/>
        <v>1274948.6</v>
      </c>
      <c r="L47" s="201">
        <f t="shared" si="6"/>
        <v>495938.51</v>
      </c>
      <c r="M47" s="201">
        <f t="shared" si="6"/>
        <v>929144.62</v>
      </c>
      <c r="N47" s="201">
        <f t="shared" si="6"/>
        <v>1323204.2899999998</v>
      </c>
      <c r="O47" s="122">
        <f>SUM(O37:O46)</f>
        <v>5593507.49</v>
      </c>
      <c r="P47" s="187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</row>
    <row r="48" spans="1:49" s="129" customFormat="1" ht="23.25" customHeight="1">
      <c r="A48" s="257"/>
      <c r="B48" s="257"/>
      <c r="C48" s="257"/>
      <c r="D48" s="257"/>
      <c r="E48" s="257"/>
      <c r="F48" s="257"/>
      <c r="G48" s="258" t="s">
        <v>96</v>
      </c>
      <c r="H48" s="118" t="s">
        <v>7</v>
      </c>
      <c r="I48" s="259">
        <v>238414</v>
      </c>
      <c r="J48" s="259">
        <v>238445</v>
      </c>
      <c r="K48" s="259">
        <v>238475</v>
      </c>
      <c r="L48" s="259">
        <v>238506</v>
      </c>
      <c r="M48" s="259">
        <v>238537</v>
      </c>
      <c r="N48" s="259">
        <v>238565</v>
      </c>
      <c r="O48" s="260" t="s">
        <v>97</v>
      </c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</row>
    <row r="49" spans="1:49" s="129" customFormat="1" ht="23.25" customHeight="1">
      <c r="A49" s="257"/>
      <c r="B49" s="257"/>
      <c r="C49" s="257"/>
      <c r="D49" s="257"/>
      <c r="E49" s="257"/>
      <c r="F49" s="257"/>
      <c r="G49" s="258"/>
      <c r="H49" s="196" t="s">
        <v>172</v>
      </c>
      <c r="I49" s="259"/>
      <c r="J49" s="259"/>
      <c r="K49" s="259"/>
      <c r="L49" s="259"/>
      <c r="M49" s="259"/>
      <c r="N49" s="259"/>
      <c r="O49" s="260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</row>
    <row r="50" spans="1:49" s="131" customFormat="1" ht="23.25">
      <c r="A50" s="170" t="s">
        <v>156</v>
      </c>
      <c r="B50" s="138"/>
      <c r="C50" s="138"/>
      <c r="D50" s="138"/>
      <c r="E50" s="138"/>
      <c r="F50" s="139"/>
      <c r="G50" s="140"/>
      <c r="H50" s="118"/>
      <c r="I50" s="198"/>
      <c r="J50" s="198"/>
      <c r="K50" s="198"/>
      <c r="L50" s="198"/>
      <c r="M50" s="198"/>
      <c r="N50" s="198"/>
      <c r="O50" s="185"/>
      <c r="P50" s="187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</row>
    <row r="51" spans="1:49" s="131" customFormat="1" ht="23.25">
      <c r="A51" s="136"/>
      <c r="B51" s="137" t="s">
        <v>157</v>
      </c>
      <c r="C51" s="138"/>
      <c r="D51" s="138"/>
      <c r="E51" s="138"/>
      <c r="F51" s="139"/>
      <c r="G51" s="140"/>
      <c r="H51" s="119"/>
      <c r="I51" s="199"/>
      <c r="J51" s="199"/>
      <c r="K51" s="199"/>
      <c r="L51" s="199"/>
      <c r="M51" s="199"/>
      <c r="N51" s="199"/>
      <c r="O51" s="167"/>
      <c r="P51" s="187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</row>
    <row r="52" spans="1:63" s="146" customFormat="1" ht="23.25">
      <c r="A52" s="217"/>
      <c r="B52" s="146" t="s">
        <v>158</v>
      </c>
      <c r="F52" s="218"/>
      <c r="G52" s="219" t="s">
        <v>159</v>
      </c>
      <c r="H52" s="120">
        <v>7154000</v>
      </c>
      <c r="I52" s="200"/>
      <c r="J52" s="200"/>
      <c r="K52" s="200">
        <v>2412109</v>
      </c>
      <c r="L52" s="200"/>
      <c r="M52" s="200"/>
      <c r="N52" s="200">
        <v>3149791</v>
      </c>
      <c r="O52" s="120">
        <f>SUM(I52:N52)</f>
        <v>5561900</v>
      </c>
      <c r="P52" s="18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</row>
    <row r="53" spans="1:49" s="159" customFormat="1" ht="23.25">
      <c r="A53" s="261" t="s">
        <v>108</v>
      </c>
      <c r="B53" s="262"/>
      <c r="C53" s="262"/>
      <c r="D53" s="262"/>
      <c r="E53" s="262"/>
      <c r="F53" s="263"/>
      <c r="G53" s="177"/>
      <c r="H53" s="178">
        <f>SUM(H52)</f>
        <v>7154000</v>
      </c>
      <c r="I53" s="205">
        <f aca="true" t="shared" si="7" ref="I53:O53">SUM(I52)</f>
        <v>0</v>
      </c>
      <c r="J53" s="205">
        <f t="shared" si="7"/>
        <v>0</v>
      </c>
      <c r="K53" s="205">
        <f t="shared" si="7"/>
        <v>2412109</v>
      </c>
      <c r="L53" s="205">
        <f t="shared" si="7"/>
        <v>0</v>
      </c>
      <c r="M53" s="205">
        <f t="shared" si="7"/>
        <v>0</v>
      </c>
      <c r="N53" s="205">
        <f t="shared" si="7"/>
        <v>3149791</v>
      </c>
      <c r="O53" s="178">
        <f t="shared" si="7"/>
        <v>5561900</v>
      </c>
      <c r="P53" s="187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</row>
    <row r="54" spans="1:49" s="159" customFormat="1" ht="31.5" customHeight="1" thickBot="1">
      <c r="A54" s="183"/>
      <c r="B54" s="269" t="s">
        <v>167</v>
      </c>
      <c r="C54" s="269"/>
      <c r="D54" s="269"/>
      <c r="E54" s="269"/>
      <c r="F54" s="270"/>
      <c r="G54" s="184"/>
      <c r="H54" s="127">
        <f aca="true" t="shared" si="8" ref="H54:M54">H13+H22+H29+H34+H47+H53</f>
        <v>17667500</v>
      </c>
      <c r="I54" s="206">
        <f t="shared" si="8"/>
        <v>1125559.28</v>
      </c>
      <c r="J54" s="206">
        <f t="shared" si="8"/>
        <v>454238.15</v>
      </c>
      <c r="K54" s="206">
        <f t="shared" si="8"/>
        <v>3713456.41</v>
      </c>
      <c r="L54" s="206">
        <f t="shared" si="8"/>
        <v>597469.91</v>
      </c>
      <c r="M54" s="206">
        <f t="shared" si="8"/>
        <v>1071063.48</v>
      </c>
      <c r="N54" s="206">
        <f>N18+N27+N31+N36+N49+N53</f>
        <v>3178291</v>
      </c>
      <c r="O54" s="127">
        <f>O13+O22+O29+O34+O47+O53</f>
        <v>11590445.17</v>
      </c>
      <c r="P54" s="195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</row>
    <row r="55" spans="1:49" s="131" customFormat="1" ht="24" thickTop="1">
      <c r="A55" s="170" t="s">
        <v>160</v>
      </c>
      <c r="B55" s="138"/>
      <c r="C55" s="138"/>
      <c r="D55" s="138"/>
      <c r="E55" s="138"/>
      <c r="F55" s="139"/>
      <c r="G55" s="140"/>
      <c r="H55" s="119"/>
      <c r="I55" s="199"/>
      <c r="J55" s="199"/>
      <c r="K55" s="199"/>
      <c r="L55" s="199"/>
      <c r="M55" s="199"/>
      <c r="N55" s="199"/>
      <c r="O55" s="186"/>
      <c r="P55" s="187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</row>
    <row r="56" spans="1:49" s="131" customFormat="1" ht="24" customHeight="1">
      <c r="A56" s="136"/>
      <c r="B56" s="137" t="s">
        <v>161</v>
      </c>
      <c r="C56" s="138"/>
      <c r="D56" s="138"/>
      <c r="E56" s="138"/>
      <c r="F56" s="139"/>
      <c r="G56" s="140"/>
      <c r="H56" s="119"/>
      <c r="I56" s="199"/>
      <c r="J56" s="199"/>
      <c r="K56" s="199"/>
      <c r="L56" s="199"/>
      <c r="M56" s="199"/>
      <c r="N56" s="199"/>
      <c r="O56" s="167"/>
      <c r="P56" s="187"/>
      <c r="Q56" s="171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</row>
    <row r="57" spans="1:18" ht="23.25">
      <c r="A57" s="141"/>
      <c r="B57" s="172" t="s">
        <v>94</v>
      </c>
      <c r="C57" s="168"/>
      <c r="D57" s="168"/>
      <c r="E57" s="168"/>
      <c r="F57" s="169"/>
      <c r="G57" s="145"/>
      <c r="H57" s="120"/>
      <c r="I57" s="200"/>
      <c r="J57" s="200"/>
      <c r="K57" s="200">
        <v>50676</v>
      </c>
      <c r="L57" s="200"/>
      <c r="M57" s="200"/>
      <c r="N57" s="200"/>
      <c r="O57" s="120">
        <f>SUM(I57:N57)</f>
        <v>50676</v>
      </c>
      <c r="P57" s="187"/>
      <c r="R57" s="146" t="s">
        <v>12</v>
      </c>
    </row>
    <row r="58" spans="1:16" ht="23.25">
      <c r="A58" s="173"/>
      <c r="B58" s="161" t="s">
        <v>162</v>
      </c>
      <c r="C58" s="174"/>
      <c r="D58" s="174"/>
      <c r="E58" s="174"/>
      <c r="F58" s="175"/>
      <c r="G58" s="176"/>
      <c r="H58" s="121"/>
      <c r="I58" s="207"/>
      <c r="J58" s="207"/>
      <c r="K58" s="207"/>
      <c r="L58" s="207"/>
      <c r="M58" s="207"/>
      <c r="N58" s="207"/>
      <c r="O58" s="121">
        <f>SUM(I58:N58)</f>
        <v>0</v>
      </c>
      <c r="P58" s="187"/>
    </row>
    <row r="59" spans="1:16" ht="23.25">
      <c r="A59" s="141"/>
      <c r="B59" s="172" t="s">
        <v>95</v>
      </c>
      <c r="C59" s="168"/>
      <c r="D59" s="168"/>
      <c r="E59" s="168"/>
      <c r="F59" s="169"/>
      <c r="G59" s="145"/>
      <c r="H59" s="120">
        <f>+'[2]หมายเหตุประกอบ 1'!H52</f>
        <v>0</v>
      </c>
      <c r="I59" s="200"/>
      <c r="J59" s="200">
        <v>873000</v>
      </c>
      <c r="K59" s="200"/>
      <c r="L59" s="200"/>
      <c r="M59" s="200"/>
      <c r="N59" s="200">
        <v>436500</v>
      </c>
      <c r="O59" s="120">
        <f>SUM(I59:N59)</f>
        <v>1309500</v>
      </c>
      <c r="P59" s="187"/>
    </row>
    <row r="60" spans="1:49" s="159" customFormat="1" ht="23.25">
      <c r="A60" s="261" t="s">
        <v>170</v>
      </c>
      <c r="B60" s="262"/>
      <c r="C60" s="262"/>
      <c r="D60" s="262"/>
      <c r="E60" s="262"/>
      <c r="F60" s="263"/>
      <c r="G60" s="177"/>
      <c r="H60" s="122">
        <f aca="true" t="shared" si="9" ref="H60:O60">SUM(H57:H59)</f>
        <v>0</v>
      </c>
      <c r="I60" s="201">
        <f t="shared" si="9"/>
        <v>0</v>
      </c>
      <c r="J60" s="201">
        <f t="shared" si="9"/>
        <v>873000</v>
      </c>
      <c r="K60" s="201">
        <f t="shared" si="9"/>
        <v>50676</v>
      </c>
      <c r="L60" s="201">
        <f t="shared" si="9"/>
        <v>0</v>
      </c>
      <c r="M60" s="201">
        <f t="shared" si="9"/>
        <v>0</v>
      </c>
      <c r="N60" s="201">
        <f t="shared" si="9"/>
        <v>436500</v>
      </c>
      <c r="O60" s="122">
        <f t="shared" si="9"/>
        <v>1360176</v>
      </c>
      <c r="P60" s="187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</row>
    <row r="61" spans="1:16" ht="23.25">
      <c r="A61" s="271" t="s">
        <v>171</v>
      </c>
      <c r="B61" s="272"/>
      <c r="C61" s="272"/>
      <c r="D61" s="272"/>
      <c r="E61" s="272"/>
      <c r="F61" s="273"/>
      <c r="G61" s="188"/>
      <c r="H61" s="189">
        <v>0</v>
      </c>
      <c r="I61" s="208"/>
      <c r="J61" s="208"/>
      <c r="K61" s="208"/>
      <c r="L61" s="208"/>
      <c r="M61" s="208"/>
      <c r="N61" s="208">
        <v>146996</v>
      </c>
      <c r="O61" s="120">
        <f>SUM(I61:N61)</f>
        <v>146996</v>
      </c>
      <c r="P61" s="187"/>
    </row>
    <row r="62" spans="1:49" s="129" customFormat="1" ht="32.25" customHeight="1" thickBot="1">
      <c r="A62" s="179"/>
      <c r="B62" s="267" t="s">
        <v>168</v>
      </c>
      <c r="C62" s="267"/>
      <c r="D62" s="267"/>
      <c r="E62" s="267"/>
      <c r="F62" s="268"/>
      <c r="G62" s="180"/>
      <c r="H62" s="127">
        <f aca="true" t="shared" si="10" ref="H62:O62">+H13+H22+H29+H34+H47+H53+H60+H61</f>
        <v>17667500</v>
      </c>
      <c r="I62" s="206">
        <f t="shared" si="10"/>
        <v>1125559.28</v>
      </c>
      <c r="J62" s="206">
        <f t="shared" si="10"/>
        <v>1327238.15</v>
      </c>
      <c r="K62" s="206">
        <f t="shared" si="10"/>
        <v>3764132.41</v>
      </c>
      <c r="L62" s="206">
        <f t="shared" si="10"/>
        <v>597469.91</v>
      </c>
      <c r="M62" s="206">
        <f t="shared" si="10"/>
        <v>1071063.48</v>
      </c>
      <c r="N62" s="206">
        <f t="shared" si="10"/>
        <v>5212153.9399999995</v>
      </c>
      <c r="O62" s="206">
        <f t="shared" si="10"/>
        <v>13097617.17</v>
      </c>
      <c r="P62" s="187"/>
      <c r="Q62" s="181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</row>
    <row r="63" spans="4:6" ht="24" thickTop="1">
      <c r="D63" s="124"/>
      <c r="E63" s="124"/>
      <c r="F63" s="125"/>
    </row>
    <row r="64" spans="4:6" ht="23.25">
      <c r="D64" s="124"/>
      <c r="E64" s="124"/>
      <c r="F64" s="125"/>
    </row>
    <row r="65" spans="4:6" ht="23.25">
      <c r="D65" s="124"/>
      <c r="E65" s="124"/>
      <c r="F65" s="125"/>
    </row>
    <row r="66" spans="4:6" ht="23.25">
      <c r="D66" s="124"/>
      <c r="E66" s="124"/>
      <c r="F66" s="125"/>
    </row>
  </sheetData>
  <sheetProtection/>
  <mergeCells count="40">
    <mergeCell ref="B62:F62"/>
    <mergeCell ref="N4:N5"/>
    <mergeCell ref="N24:N25"/>
    <mergeCell ref="N48:N49"/>
    <mergeCell ref="M48:M49"/>
    <mergeCell ref="O48:O49"/>
    <mergeCell ref="A53:F53"/>
    <mergeCell ref="B54:F54"/>
    <mergeCell ref="A60:F60"/>
    <mergeCell ref="A61:F61"/>
    <mergeCell ref="O24:O25"/>
    <mergeCell ref="B29:F29"/>
    <mergeCell ref="A34:F34"/>
    <mergeCell ref="A47:F47"/>
    <mergeCell ref="A48:F49"/>
    <mergeCell ref="G48:G49"/>
    <mergeCell ref="I48:I49"/>
    <mergeCell ref="J48:J49"/>
    <mergeCell ref="K48:K49"/>
    <mergeCell ref="L48:L49"/>
    <mergeCell ref="O4:O5"/>
    <mergeCell ref="A13:F13"/>
    <mergeCell ref="A22:F22"/>
    <mergeCell ref="A24:F25"/>
    <mergeCell ref="G24:G25"/>
    <mergeCell ref="I24:I25"/>
    <mergeCell ref="J24:J25"/>
    <mergeCell ref="K24:K25"/>
    <mergeCell ref="L24:L25"/>
    <mergeCell ref="M24:M25"/>
    <mergeCell ref="A1:O1"/>
    <mergeCell ref="A2:O2"/>
    <mergeCell ref="A3:O3"/>
    <mergeCell ref="A4:F5"/>
    <mergeCell ref="G4:G5"/>
    <mergeCell ref="I4:I5"/>
    <mergeCell ref="J4:J5"/>
    <mergeCell ref="K4:K5"/>
    <mergeCell ref="L4:L5"/>
    <mergeCell ref="M4:M5"/>
  </mergeCells>
  <printOptions/>
  <pageMargins left="0.15748031496062992" right="0.15748031496062992" top="0.45" bottom="0.21" header="0.31496062992125984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6"/>
  <sheetViews>
    <sheetView zoomScalePageLayoutView="0" workbookViewId="0" topLeftCell="A1">
      <selection activeCell="M8" sqref="M8:M13"/>
    </sheetView>
  </sheetViews>
  <sheetFormatPr defaultColWidth="9.140625" defaultRowHeight="12.75"/>
  <cols>
    <col min="1" max="1" width="4.140625" style="147" customWidth="1"/>
    <col min="2" max="5" width="9.140625" style="147" customWidth="1"/>
    <col min="6" max="6" width="8.421875" style="147" customWidth="1"/>
    <col min="7" max="7" width="9.7109375" style="182" customWidth="1"/>
    <col min="8" max="8" width="14.421875" style="126" customWidth="1"/>
    <col min="9" max="13" width="11.7109375" style="209" customWidth="1"/>
    <col min="14" max="14" width="14.421875" style="126" customWidth="1"/>
    <col min="15" max="15" width="14.8515625" style="146" customWidth="1"/>
    <col min="16" max="16" width="12.7109375" style="146" bestFit="1" customWidth="1"/>
    <col min="17" max="48" width="9.140625" style="146" customWidth="1"/>
    <col min="49" max="16384" width="9.140625" style="147" customWidth="1"/>
  </cols>
  <sheetData>
    <row r="1" spans="1:48" s="129" customFormat="1" ht="26.25">
      <c r="A1" s="255" t="s">
        <v>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</row>
    <row r="2" spans="1:48" s="129" customFormat="1" ht="26.25">
      <c r="A2" s="255" t="s">
        <v>165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</row>
    <row r="3" spans="1:48" s="129" customFormat="1" ht="26.25">
      <c r="A3" s="256" t="s">
        <v>164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</row>
    <row r="4" spans="1:48" s="129" customFormat="1" ht="23.25">
      <c r="A4" s="257"/>
      <c r="B4" s="257"/>
      <c r="C4" s="257"/>
      <c r="D4" s="257"/>
      <c r="E4" s="257"/>
      <c r="F4" s="257"/>
      <c r="G4" s="258" t="s">
        <v>96</v>
      </c>
      <c r="H4" s="118" t="s">
        <v>7</v>
      </c>
      <c r="I4" s="259">
        <v>238414</v>
      </c>
      <c r="J4" s="259">
        <v>238445</v>
      </c>
      <c r="K4" s="259">
        <v>238475</v>
      </c>
      <c r="L4" s="259">
        <v>238506</v>
      </c>
      <c r="M4" s="259">
        <v>238537</v>
      </c>
      <c r="N4" s="260" t="s">
        <v>97</v>
      </c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</row>
    <row r="5" spans="1:48" s="129" customFormat="1" ht="23.25">
      <c r="A5" s="257"/>
      <c r="B5" s="257"/>
      <c r="C5" s="257"/>
      <c r="D5" s="257"/>
      <c r="E5" s="257"/>
      <c r="F5" s="257"/>
      <c r="G5" s="258"/>
      <c r="H5" s="196" t="s">
        <v>172</v>
      </c>
      <c r="I5" s="259"/>
      <c r="J5" s="259"/>
      <c r="K5" s="259"/>
      <c r="L5" s="259"/>
      <c r="M5" s="259"/>
      <c r="N5" s="260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</row>
    <row r="6" spans="1:48" s="131" customFormat="1" ht="23.25">
      <c r="A6" s="132" t="s">
        <v>26</v>
      </c>
      <c r="B6" s="133"/>
      <c r="C6" s="133"/>
      <c r="D6" s="133"/>
      <c r="E6" s="133"/>
      <c r="F6" s="134"/>
      <c r="G6" s="135"/>
      <c r="H6" s="118"/>
      <c r="I6" s="198"/>
      <c r="J6" s="198"/>
      <c r="K6" s="198"/>
      <c r="L6" s="198"/>
      <c r="M6" s="198"/>
      <c r="N6" s="118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</row>
    <row r="7" spans="1:48" s="131" customFormat="1" ht="23.25">
      <c r="A7" s="136"/>
      <c r="B7" s="137" t="s">
        <v>98</v>
      </c>
      <c r="C7" s="138"/>
      <c r="D7" s="138"/>
      <c r="E7" s="138"/>
      <c r="F7" s="139"/>
      <c r="G7" s="140"/>
      <c r="H7" s="119"/>
      <c r="I7" s="199"/>
      <c r="J7" s="199"/>
      <c r="K7" s="199"/>
      <c r="L7" s="199"/>
      <c r="M7" s="199"/>
      <c r="N7" s="119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</row>
    <row r="8" spans="1:15" ht="23.25">
      <c r="A8" s="141"/>
      <c r="B8" s="142" t="s">
        <v>99</v>
      </c>
      <c r="C8" s="143"/>
      <c r="D8" s="143"/>
      <c r="E8" s="143"/>
      <c r="F8" s="144"/>
      <c r="G8" s="145" t="s">
        <v>100</v>
      </c>
      <c r="H8" s="120">
        <v>150000</v>
      </c>
      <c r="I8" s="200"/>
      <c r="J8" s="200"/>
      <c r="K8" s="200"/>
      <c r="L8" s="200">
        <v>54524.87</v>
      </c>
      <c r="M8" s="200">
        <v>49038.45</v>
      </c>
      <c r="N8" s="120">
        <f>SUM(I8:M8)</f>
        <v>103563.32</v>
      </c>
      <c r="O8" s="187"/>
    </row>
    <row r="9" spans="1:15" ht="23.25">
      <c r="A9" s="148"/>
      <c r="B9" s="149" t="s">
        <v>101</v>
      </c>
      <c r="C9" s="150"/>
      <c r="D9" s="150"/>
      <c r="E9" s="150"/>
      <c r="F9" s="151"/>
      <c r="G9" s="152" t="s">
        <v>102</v>
      </c>
      <c r="H9" s="120">
        <v>50000</v>
      </c>
      <c r="I9" s="200"/>
      <c r="J9" s="200">
        <v>2205.96</v>
      </c>
      <c r="K9" s="200">
        <v>408.33</v>
      </c>
      <c r="L9" s="200">
        <v>5976.53</v>
      </c>
      <c r="M9" s="200">
        <v>15694.41</v>
      </c>
      <c r="N9" s="120">
        <f>SUM(I9:M9)</f>
        <v>24285.23</v>
      </c>
      <c r="O9" s="187"/>
    </row>
    <row r="10" spans="1:15" ht="23.25">
      <c r="A10" s="148"/>
      <c r="B10" s="150" t="s">
        <v>103</v>
      </c>
      <c r="C10" s="149"/>
      <c r="D10" s="149"/>
      <c r="E10" s="149"/>
      <c r="F10" s="153"/>
      <c r="G10" s="152" t="s">
        <v>104</v>
      </c>
      <c r="H10" s="120">
        <v>57000</v>
      </c>
      <c r="I10" s="200"/>
      <c r="J10" s="200">
        <v>600</v>
      </c>
      <c r="K10" s="200"/>
      <c r="L10" s="200">
        <v>12657</v>
      </c>
      <c r="M10" s="200">
        <v>15006</v>
      </c>
      <c r="N10" s="120">
        <f>SUM(I10:M10)</f>
        <v>28263</v>
      </c>
      <c r="O10" s="187"/>
    </row>
    <row r="11" spans="1:15" ht="23.25">
      <c r="A11" s="148"/>
      <c r="B11" s="150" t="s">
        <v>105</v>
      </c>
      <c r="C11" s="149"/>
      <c r="D11" s="149"/>
      <c r="E11" s="149"/>
      <c r="F11" s="153"/>
      <c r="G11" s="152" t="s">
        <v>106</v>
      </c>
      <c r="H11" s="120">
        <f>+'[2]หมายเหตุประกอบ 1'!H10</f>
        <v>0</v>
      </c>
      <c r="I11" s="200"/>
      <c r="J11" s="200"/>
      <c r="K11" s="200"/>
      <c r="L11" s="200"/>
      <c r="M11" s="200"/>
      <c r="N11" s="120">
        <f>SUM(I11:M11)</f>
        <v>0</v>
      </c>
      <c r="O11" s="187"/>
    </row>
    <row r="12" spans="1:62" s="146" customFormat="1" ht="23.25">
      <c r="A12" s="173"/>
      <c r="B12" s="174" t="s">
        <v>166</v>
      </c>
      <c r="C12" s="174"/>
      <c r="D12" s="174"/>
      <c r="E12" s="174"/>
      <c r="F12" s="175"/>
      <c r="G12" s="176" t="s">
        <v>107</v>
      </c>
      <c r="H12" s="120">
        <v>440</v>
      </c>
      <c r="I12" s="200"/>
      <c r="J12" s="200"/>
      <c r="K12" s="200"/>
      <c r="L12" s="200"/>
      <c r="M12" s="200"/>
      <c r="N12" s="120">
        <f>SUM(I12:M12)</f>
        <v>0</v>
      </c>
      <c r="O12" s="18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</row>
    <row r="13" spans="1:48" s="159" customFormat="1" ht="23.25">
      <c r="A13" s="261" t="s">
        <v>108</v>
      </c>
      <c r="B13" s="262"/>
      <c r="C13" s="262"/>
      <c r="D13" s="262"/>
      <c r="E13" s="262"/>
      <c r="F13" s="263"/>
      <c r="G13" s="177"/>
      <c r="H13" s="122">
        <f>SUM(H8:H12)</f>
        <v>257440</v>
      </c>
      <c r="I13" s="201">
        <f aca="true" t="shared" si="0" ref="I13:N13">SUM(I8:I12)</f>
        <v>0</v>
      </c>
      <c r="J13" s="201">
        <f t="shared" si="0"/>
        <v>2805.96</v>
      </c>
      <c r="K13" s="201">
        <f t="shared" si="0"/>
        <v>408.33</v>
      </c>
      <c r="L13" s="201">
        <f t="shared" si="0"/>
        <v>73158.4</v>
      </c>
      <c r="M13" s="201">
        <f t="shared" si="0"/>
        <v>79738.86</v>
      </c>
      <c r="N13" s="122">
        <f t="shared" si="0"/>
        <v>156111.55</v>
      </c>
      <c r="O13" s="187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</row>
    <row r="14" spans="1:48" s="131" customFormat="1" ht="23.25">
      <c r="A14" s="136"/>
      <c r="B14" s="137" t="s">
        <v>109</v>
      </c>
      <c r="C14" s="138"/>
      <c r="D14" s="138"/>
      <c r="E14" s="138"/>
      <c r="F14" s="139"/>
      <c r="G14" s="140"/>
      <c r="H14" s="123"/>
      <c r="I14" s="202"/>
      <c r="J14" s="202"/>
      <c r="K14" s="202"/>
      <c r="L14" s="202"/>
      <c r="M14" s="202"/>
      <c r="N14" s="123"/>
      <c r="O14" s="187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</row>
    <row r="15" spans="1:15" ht="23.25">
      <c r="A15" s="141"/>
      <c r="B15" s="197" t="s">
        <v>110</v>
      </c>
      <c r="C15" s="142"/>
      <c r="D15" s="142"/>
      <c r="E15" s="142"/>
      <c r="F15" s="165"/>
      <c r="G15" s="145" t="s">
        <v>111</v>
      </c>
      <c r="H15" s="120">
        <f>+'[2]หมายเหตุประกอบ 1'!H14</f>
        <v>0</v>
      </c>
      <c r="I15" s="200"/>
      <c r="J15" s="200"/>
      <c r="K15" s="200"/>
      <c r="L15" s="200"/>
      <c r="M15" s="200"/>
      <c r="N15" s="120">
        <f aca="true" t="shared" si="1" ref="N15:N21">SUM(I15:M15)</f>
        <v>0</v>
      </c>
      <c r="O15" s="187"/>
    </row>
    <row r="16" spans="1:15" ht="23.25">
      <c r="A16" s="148"/>
      <c r="B16" s="150" t="s">
        <v>112</v>
      </c>
      <c r="C16" s="149"/>
      <c r="D16" s="149"/>
      <c r="E16" s="149"/>
      <c r="F16" s="153"/>
      <c r="G16" s="152" t="s">
        <v>113</v>
      </c>
      <c r="H16" s="120">
        <v>148460</v>
      </c>
      <c r="I16" s="200">
        <v>3330</v>
      </c>
      <c r="J16" s="200">
        <v>2970</v>
      </c>
      <c r="K16" s="200">
        <v>17470</v>
      </c>
      <c r="L16" s="200">
        <v>17163</v>
      </c>
      <c r="M16" s="200">
        <v>25790</v>
      </c>
      <c r="N16" s="120">
        <f t="shared" si="1"/>
        <v>66723</v>
      </c>
      <c r="O16" s="187"/>
    </row>
    <row r="17" spans="1:15" ht="23.25">
      <c r="A17" s="148"/>
      <c r="B17" s="150" t="s">
        <v>120</v>
      </c>
      <c r="C17" s="150"/>
      <c r="D17" s="150"/>
      <c r="E17" s="150"/>
      <c r="F17" s="151"/>
      <c r="G17" s="152" t="s">
        <v>121</v>
      </c>
      <c r="H17" s="120">
        <v>12000</v>
      </c>
      <c r="I17" s="200"/>
      <c r="J17" s="200"/>
      <c r="K17" s="200">
        <v>3000</v>
      </c>
      <c r="L17" s="200">
        <v>3900</v>
      </c>
      <c r="M17" s="200">
        <v>5400</v>
      </c>
      <c r="N17" s="120">
        <f t="shared" si="1"/>
        <v>12300</v>
      </c>
      <c r="O17" s="187"/>
    </row>
    <row r="18" spans="1:15" ht="23.25">
      <c r="A18" s="148"/>
      <c r="B18" s="150" t="s">
        <v>114</v>
      </c>
      <c r="C18" s="150"/>
      <c r="D18" s="150"/>
      <c r="E18" s="150"/>
      <c r="F18" s="151"/>
      <c r="G18" s="152" t="s">
        <v>115</v>
      </c>
      <c r="H18" s="120">
        <f>+'[2]หมายเหตุประกอบ 1'!H16</f>
        <v>0</v>
      </c>
      <c r="I18" s="200"/>
      <c r="J18" s="200"/>
      <c r="K18" s="200"/>
      <c r="L18" s="200"/>
      <c r="M18" s="200"/>
      <c r="N18" s="120">
        <f t="shared" si="1"/>
        <v>0</v>
      </c>
      <c r="O18" s="187"/>
    </row>
    <row r="19" spans="1:15" ht="23.25">
      <c r="A19" s="148"/>
      <c r="B19" s="150" t="s">
        <v>116</v>
      </c>
      <c r="C19" s="150"/>
      <c r="D19" s="150"/>
      <c r="E19" s="150"/>
      <c r="F19" s="151"/>
      <c r="G19" s="152" t="s">
        <v>117</v>
      </c>
      <c r="H19" s="120">
        <v>140</v>
      </c>
      <c r="I19" s="200"/>
      <c r="J19" s="200">
        <v>20</v>
      </c>
      <c r="K19" s="200"/>
      <c r="L19" s="200"/>
      <c r="M19" s="200">
        <v>10</v>
      </c>
      <c r="N19" s="120">
        <f t="shared" si="1"/>
        <v>30</v>
      </c>
      <c r="O19" s="187"/>
    </row>
    <row r="20" spans="1:15" ht="23.25">
      <c r="A20" s="148"/>
      <c r="B20" s="150" t="s">
        <v>118</v>
      </c>
      <c r="C20" s="150"/>
      <c r="D20" s="150"/>
      <c r="E20" s="150"/>
      <c r="F20" s="151"/>
      <c r="G20" s="152" t="s">
        <v>119</v>
      </c>
      <c r="H20" s="120">
        <v>300</v>
      </c>
      <c r="I20" s="200"/>
      <c r="J20" s="200"/>
      <c r="K20" s="200"/>
      <c r="L20" s="200"/>
      <c r="M20" s="200"/>
      <c r="N20" s="120">
        <f t="shared" si="1"/>
        <v>0</v>
      </c>
      <c r="O20" s="187"/>
    </row>
    <row r="21" spans="1:15" ht="23.25">
      <c r="A21" s="173"/>
      <c r="B21" s="214" t="s">
        <v>122</v>
      </c>
      <c r="C21" s="214"/>
      <c r="D21" s="214"/>
      <c r="E21" s="214"/>
      <c r="F21" s="215"/>
      <c r="G21" s="176" t="s">
        <v>123</v>
      </c>
      <c r="H21" s="167">
        <v>15000</v>
      </c>
      <c r="I21" s="204"/>
      <c r="J21" s="204">
        <v>400</v>
      </c>
      <c r="K21" s="204">
        <v>1300</v>
      </c>
      <c r="L21" s="204">
        <v>6230</v>
      </c>
      <c r="M21" s="204">
        <v>6580</v>
      </c>
      <c r="N21" s="167">
        <f t="shared" si="1"/>
        <v>14510</v>
      </c>
      <c r="O21" s="187"/>
    </row>
    <row r="22" spans="1:48" s="159" customFormat="1" ht="23.25">
      <c r="A22" s="261" t="s">
        <v>108</v>
      </c>
      <c r="B22" s="262"/>
      <c r="C22" s="262"/>
      <c r="D22" s="262"/>
      <c r="E22" s="262"/>
      <c r="F22" s="263"/>
      <c r="G22" s="177"/>
      <c r="H22" s="166">
        <f>SUM(H15:H21)</f>
        <v>175900</v>
      </c>
      <c r="I22" s="203">
        <f aca="true" t="shared" si="2" ref="I22:N22">SUM(I15:I21)</f>
        <v>3330</v>
      </c>
      <c r="J22" s="203">
        <f t="shared" si="2"/>
        <v>3390</v>
      </c>
      <c r="K22" s="203">
        <f>SUM(K15:K21)</f>
        <v>21770</v>
      </c>
      <c r="L22" s="203">
        <f t="shared" si="2"/>
        <v>27293</v>
      </c>
      <c r="M22" s="203">
        <f t="shared" si="2"/>
        <v>37780</v>
      </c>
      <c r="N22" s="166">
        <f t="shared" si="2"/>
        <v>93563</v>
      </c>
      <c r="O22" s="187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</row>
    <row r="23" spans="2:15" s="158" customFormat="1" ht="23.25">
      <c r="B23" s="210"/>
      <c r="C23" s="210"/>
      <c r="D23" s="210"/>
      <c r="E23" s="210"/>
      <c r="F23" s="210"/>
      <c r="G23" s="211"/>
      <c r="H23" s="212"/>
      <c r="I23" s="213"/>
      <c r="J23" s="213"/>
      <c r="K23" s="213"/>
      <c r="L23" s="213"/>
      <c r="M23" s="213"/>
      <c r="N23" s="212"/>
      <c r="O23" s="187"/>
    </row>
    <row r="24" spans="1:48" s="129" customFormat="1" ht="23.25" customHeight="1">
      <c r="A24" s="257"/>
      <c r="B24" s="257"/>
      <c r="C24" s="257"/>
      <c r="D24" s="257"/>
      <c r="E24" s="257"/>
      <c r="F24" s="257"/>
      <c r="G24" s="258" t="s">
        <v>96</v>
      </c>
      <c r="H24" s="118" t="s">
        <v>7</v>
      </c>
      <c r="I24" s="259">
        <v>238414</v>
      </c>
      <c r="J24" s="259">
        <v>238445</v>
      </c>
      <c r="K24" s="259">
        <v>238475</v>
      </c>
      <c r="L24" s="259">
        <v>238506</v>
      </c>
      <c r="M24" s="259">
        <v>238537</v>
      </c>
      <c r="N24" s="260" t="s">
        <v>97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</row>
    <row r="25" spans="1:48" s="129" customFormat="1" ht="23.25" customHeight="1">
      <c r="A25" s="257"/>
      <c r="B25" s="257"/>
      <c r="C25" s="257"/>
      <c r="D25" s="257"/>
      <c r="E25" s="257"/>
      <c r="F25" s="257"/>
      <c r="G25" s="258"/>
      <c r="H25" s="196" t="s">
        <v>172</v>
      </c>
      <c r="I25" s="259"/>
      <c r="J25" s="259"/>
      <c r="K25" s="259"/>
      <c r="L25" s="259"/>
      <c r="M25" s="259"/>
      <c r="N25" s="260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</row>
    <row r="26" spans="1:48" s="131" customFormat="1" ht="23.25">
      <c r="A26" s="160"/>
      <c r="B26" s="161" t="s">
        <v>125</v>
      </c>
      <c r="C26" s="162"/>
      <c r="D26" s="162"/>
      <c r="E26" s="162"/>
      <c r="F26" s="163"/>
      <c r="G26" s="164"/>
      <c r="H26" s="119"/>
      <c r="I26" s="199"/>
      <c r="J26" s="199"/>
      <c r="K26" s="199"/>
      <c r="L26" s="199"/>
      <c r="M26" s="199"/>
      <c r="N26" s="185"/>
      <c r="O26" s="187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</row>
    <row r="27" spans="1:15" ht="23.25">
      <c r="A27" s="141"/>
      <c r="B27" s="143" t="s">
        <v>126</v>
      </c>
      <c r="C27" s="143"/>
      <c r="D27" s="143"/>
      <c r="E27" s="143"/>
      <c r="F27" s="144"/>
      <c r="G27" s="145" t="s">
        <v>127</v>
      </c>
      <c r="H27" s="120">
        <v>6270</v>
      </c>
      <c r="I27" s="200"/>
      <c r="J27" s="200"/>
      <c r="K27" s="200"/>
      <c r="L27" s="200"/>
      <c r="M27" s="200"/>
      <c r="N27" s="120">
        <f>SUM(I27:M27)</f>
        <v>0</v>
      </c>
      <c r="O27" s="187"/>
    </row>
    <row r="28" spans="1:62" s="146" customFormat="1" ht="23.25">
      <c r="A28" s="148"/>
      <c r="B28" s="150" t="s">
        <v>128</v>
      </c>
      <c r="C28" s="150"/>
      <c r="D28" s="150"/>
      <c r="E28" s="150"/>
      <c r="F28" s="151"/>
      <c r="G28" s="152" t="s">
        <v>129</v>
      </c>
      <c r="H28" s="167">
        <v>149730</v>
      </c>
      <c r="I28" s="204"/>
      <c r="J28" s="204"/>
      <c r="K28" s="204">
        <v>3140.48</v>
      </c>
      <c r="L28" s="204"/>
      <c r="M28" s="204"/>
      <c r="N28" s="120">
        <f>SUM(I28:M28)</f>
        <v>3140.48</v>
      </c>
      <c r="O28" s="18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</row>
    <row r="29" spans="1:48" s="159" customFormat="1" ht="23.25">
      <c r="A29" s="156"/>
      <c r="B29" s="264" t="s">
        <v>108</v>
      </c>
      <c r="C29" s="264"/>
      <c r="D29" s="264"/>
      <c r="E29" s="264"/>
      <c r="F29" s="265"/>
      <c r="G29" s="157"/>
      <c r="H29" s="166">
        <f>SUM(H27:H28)</f>
        <v>156000</v>
      </c>
      <c r="I29" s="203">
        <f aca="true" t="shared" si="3" ref="I29:N29">SUM(I27:I28)</f>
        <v>0</v>
      </c>
      <c r="J29" s="203">
        <f t="shared" si="3"/>
        <v>0</v>
      </c>
      <c r="K29" s="203">
        <f t="shared" si="3"/>
        <v>3140.48</v>
      </c>
      <c r="L29" s="203">
        <f t="shared" si="3"/>
        <v>0</v>
      </c>
      <c r="M29" s="203">
        <f t="shared" si="3"/>
        <v>0</v>
      </c>
      <c r="N29" s="166">
        <f t="shared" si="3"/>
        <v>3140.48</v>
      </c>
      <c r="O29" s="187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</row>
    <row r="30" spans="1:48" s="131" customFormat="1" ht="23.25">
      <c r="A30" s="160"/>
      <c r="B30" s="161" t="s">
        <v>130</v>
      </c>
      <c r="C30" s="162"/>
      <c r="D30" s="162"/>
      <c r="E30" s="162"/>
      <c r="F30" s="163"/>
      <c r="G30" s="164"/>
      <c r="H30" s="119"/>
      <c r="I30" s="199"/>
      <c r="J30" s="199"/>
      <c r="K30" s="199"/>
      <c r="L30" s="199"/>
      <c r="M30" s="199"/>
      <c r="N30" s="185"/>
      <c r="O30" s="187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</row>
    <row r="31" spans="1:62" s="146" customFormat="1" ht="23.25">
      <c r="A31" s="141"/>
      <c r="B31" s="168" t="s">
        <v>131</v>
      </c>
      <c r="C31" s="168"/>
      <c r="D31" s="168"/>
      <c r="E31" s="168"/>
      <c r="F31" s="169"/>
      <c r="G31" s="145" t="s">
        <v>132</v>
      </c>
      <c r="H31" s="120">
        <v>50000</v>
      </c>
      <c r="I31" s="200"/>
      <c r="J31" s="200"/>
      <c r="K31" s="200"/>
      <c r="L31" s="200"/>
      <c r="M31" s="200">
        <v>24000</v>
      </c>
      <c r="N31" s="120">
        <f>SUM(I31:M31)</f>
        <v>24000</v>
      </c>
      <c r="O31" s="18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</row>
    <row r="32" spans="1:62" s="146" customFormat="1" ht="23.25">
      <c r="A32" s="148"/>
      <c r="B32" s="154" t="s">
        <v>133</v>
      </c>
      <c r="C32" s="154"/>
      <c r="D32" s="154"/>
      <c r="E32" s="154"/>
      <c r="F32" s="155"/>
      <c r="G32" s="152" t="s">
        <v>134</v>
      </c>
      <c r="H32" s="120">
        <f>+'[2]หมายเหตุประกอบ 1'!H29</f>
        <v>0</v>
      </c>
      <c r="I32" s="200"/>
      <c r="J32" s="200"/>
      <c r="K32" s="200"/>
      <c r="L32" s="200"/>
      <c r="M32" s="200"/>
      <c r="N32" s="120">
        <f>SUM(I32:M32)</f>
        <v>0</v>
      </c>
      <c r="O32" s="18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</row>
    <row r="33" spans="1:62" s="146" customFormat="1" ht="23.25">
      <c r="A33" s="173"/>
      <c r="B33" s="174" t="s">
        <v>135</v>
      </c>
      <c r="C33" s="174"/>
      <c r="D33" s="174"/>
      <c r="E33" s="174"/>
      <c r="F33" s="175"/>
      <c r="G33" s="176" t="s">
        <v>136</v>
      </c>
      <c r="H33" s="120">
        <v>33000</v>
      </c>
      <c r="I33" s="200"/>
      <c r="J33" s="200"/>
      <c r="K33" s="200">
        <v>1080</v>
      </c>
      <c r="L33" s="200">
        <v>1080</v>
      </c>
      <c r="M33" s="200">
        <v>400</v>
      </c>
      <c r="N33" s="120">
        <f>SUM(I33:M33)</f>
        <v>2560</v>
      </c>
      <c r="O33" s="18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</row>
    <row r="34" spans="1:48" s="159" customFormat="1" ht="23.25">
      <c r="A34" s="266" t="s">
        <v>108</v>
      </c>
      <c r="B34" s="266"/>
      <c r="C34" s="266"/>
      <c r="D34" s="266"/>
      <c r="E34" s="266"/>
      <c r="F34" s="266"/>
      <c r="G34" s="177"/>
      <c r="H34" s="122">
        <f aca="true" t="shared" si="4" ref="H34:N34">SUM(H31:H33)</f>
        <v>83000</v>
      </c>
      <c r="I34" s="201">
        <f t="shared" si="4"/>
        <v>0</v>
      </c>
      <c r="J34" s="201">
        <f t="shared" si="4"/>
        <v>0</v>
      </c>
      <c r="K34" s="201">
        <f t="shared" si="4"/>
        <v>1080</v>
      </c>
      <c r="L34" s="201">
        <f t="shared" si="4"/>
        <v>1080</v>
      </c>
      <c r="M34" s="201">
        <f t="shared" si="4"/>
        <v>24400</v>
      </c>
      <c r="N34" s="122">
        <f t="shared" si="4"/>
        <v>26560</v>
      </c>
      <c r="O34" s="187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</row>
    <row r="35" spans="1:48" s="131" customFormat="1" ht="23.25">
      <c r="A35" s="216" t="s">
        <v>137</v>
      </c>
      <c r="B35" s="138"/>
      <c r="C35" s="138"/>
      <c r="D35" s="138"/>
      <c r="E35" s="138"/>
      <c r="F35" s="139"/>
      <c r="G35" s="140"/>
      <c r="H35" s="118"/>
      <c r="I35" s="198"/>
      <c r="J35" s="198"/>
      <c r="K35" s="198"/>
      <c r="L35" s="198"/>
      <c r="M35" s="198"/>
      <c r="N35" s="185"/>
      <c r="O35" s="187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</row>
    <row r="36" spans="1:48" s="131" customFormat="1" ht="23.25">
      <c r="A36" s="136"/>
      <c r="B36" s="137" t="s">
        <v>138</v>
      </c>
      <c r="C36" s="138"/>
      <c r="D36" s="138"/>
      <c r="E36" s="138"/>
      <c r="F36" s="139"/>
      <c r="G36" s="140"/>
      <c r="H36" s="119"/>
      <c r="I36" s="199"/>
      <c r="J36" s="199"/>
      <c r="K36" s="199"/>
      <c r="L36" s="199"/>
      <c r="M36" s="199"/>
      <c r="N36" s="167"/>
      <c r="O36" s="187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</row>
    <row r="37" spans="1:62" s="146" customFormat="1" ht="23.25">
      <c r="A37" s="141"/>
      <c r="B37" s="168" t="s">
        <v>139</v>
      </c>
      <c r="C37" s="168"/>
      <c r="D37" s="168"/>
      <c r="E37" s="168"/>
      <c r="F37" s="169"/>
      <c r="G37" s="145" t="s">
        <v>140</v>
      </c>
      <c r="H37" s="120">
        <v>3850094</v>
      </c>
      <c r="I37" s="200">
        <v>149020.28</v>
      </c>
      <c r="J37" s="200">
        <v>150411.77</v>
      </c>
      <c r="K37" s="200">
        <v>167197.76</v>
      </c>
      <c r="L37" s="200">
        <v>162029.87</v>
      </c>
      <c r="M37" s="200">
        <v>116860.21</v>
      </c>
      <c r="N37" s="120">
        <f aca="true" t="shared" si="5" ref="N37:N46">SUM(I37:M37)</f>
        <v>745519.8899999999</v>
      </c>
      <c r="O37" s="18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</row>
    <row r="38" spans="1:62" s="146" customFormat="1" ht="23.25">
      <c r="A38" s="148"/>
      <c r="B38" s="154" t="s">
        <v>141</v>
      </c>
      <c r="C38" s="154"/>
      <c r="D38" s="154"/>
      <c r="E38" s="154"/>
      <c r="F38" s="155"/>
      <c r="G38" s="152" t="s">
        <v>140</v>
      </c>
      <c r="H38" s="120">
        <v>2258036</v>
      </c>
      <c r="I38" s="200">
        <v>708721.98</v>
      </c>
      <c r="J38" s="200"/>
      <c r="K38" s="200">
        <v>799461.54</v>
      </c>
      <c r="L38" s="200"/>
      <c r="M38" s="200"/>
      <c r="N38" s="120">
        <f t="shared" si="5"/>
        <v>1508183.52</v>
      </c>
      <c r="O38" s="18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</row>
    <row r="39" spans="1:62" s="146" customFormat="1" ht="23.25">
      <c r="A39" s="148"/>
      <c r="B39" s="154" t="s">
        <v>142</v>
      </c>
      <c r="C39" s="154"/>
      <c r="D39" s="154"/>
      <c r="E39" s="154"/>
      <c r="F39" s="155"/>
      <c r="G39" s="152" t="s">
        <v>143</v>
      </c>
      <c r="H39" s="120">
        <v>20654</v>
      </c>
      <c r="I39" s="200"/>
      <c r="J39" s="200">
        <v>2170.89</v>
      </c>
      <c r="K39" s="200"/>
      <c r="L39" s="200">
        <v>1910.6</v>
      </c>
      <c r="M39" s="200">
        <v>1312.86</v>
      </c>
      <c r="N39" s="120">
        <f t="shared" si="5"/>
        <v>5394.349999999999</v>
      </c>
      <c r="O39" s="18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</row>
    <row r="40" spans="1:62" s="146" customFormat="1" ht="23.25">
      <c r="A40" s="148"/>
      <c r="B40" s="154" t="s">
        <v>144</v>
      </c>
      <c r="C40" s="154"/>
      <c r="D40" s="154"/>
      <c r="E40" s="154"/>
      <c r="F40" s="155"/>
      <c r="G40" s="152" t="s">
        <v>145</v>
      </c>
      <c r="H40" s="120">
        <v>889310</v>
      </c>
      <c r="I40" s="200">
        <v>67388.04</v>
      </c>
      <c r="J40" s="200">
        <v>71328.65</v>
      </c>
      <c r="K40" s="200">
        <v>86975.63</v>
      </c>
      <c r="L40" s="200">
        <v>97555.53</v>
      </c>
      <c r="M40" s="200">
        <v>84552.88</v>
      </c>
      <c r="N40" s="120">
        <f t="shared" si="5"/>
        <v>407800.73</v>
      </c>
      <c r="O40" s="18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</row>
    <row r="41" spans="1:62" s="146" customFormat="1" ht="23.25">
      <c r="A41" s="148"/>
      <c r="B41" s="154" t="s">
        <v>146</v>
      </c>
      <c r="C41" s="154"/>
      <c r="D41" s="154"/>
      <c r="E41" s="154"/>
      <c r="F41" s="155"/>
      <c r="G41" s="152" t="s">
        <v>147</v>
      </c>
      <c r="H41" s="120">
        <v>1745191</v>
      </c>
      <c r="I41" s="200">
        <v>197098.98</v>
      </c>
      <c r="J41" s="200">
        <v>224130.88</v>
      </c>
      <c r="K41" s="200">
        <v>204781.76</v>
      </c>
      <c r="L41" s="200">
        <v>233517.13</v>
      </c>
      <c r="M41" s="200">
        <v>234993.37</v>
      </c>
      <c r="N41" s="120">
        <f t="shared" si="5"/>
        <v>1094522.12</v>
      </c>
      <c r="O41" s="18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</row>
    <row r="42" spans="1:62" s="146" customFormat="1" ht="23.25">
      <c r="A42" s="148"/>
      <c r="B42" s="154" t="s">
        <v>148</v>
      </c>
      <c r="C42" s="154"/>
      <c r="D42" s="154"/>
      <c r="E42" s="154"/>
      <c r="F42" s="155"/>
      <c r="G42" s="152" t="s">
        <v>149</v>
      </c>
      <c r="H42" s="120">
        <v>35881</v>
      </c>
      <c r="I42" s="200"/>
      <c r="J42" s="200"/>
      <c r="K42" s="200">
        <v>6241.26</v>
      </c>
      <c r="L42" s="200"/>
      <c r="M42" s="200"/>
      <c r="N42" s="120">
        <f t="shared" si="5"/>
        <v>6241.26</v>
      </c>
      <c r="O42" s="18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</row>
    <row r="43" spans="1:62" s="146" customFormat="1" ht="23.25">
      <c r="A43" s="148"/>
      <c r="B43" s="154" t="s">
        <v>150</v>
      </c>
      <c r="C43" s="154"/>
      <c r="D43" s="154"/>
      <c r="E43" s="154"/>
      <c r="F43" s="155"/>
      <c r="G43" s="152" t="s">
        <v>151</v>
      </c>
      <c r="H43" s="120">
        <v>42729</v>
      </c>
      <c r="I43" s="200"/>
      <c r="J43" s="200"/>
      <c r="K43" s="200">
        <v>10290.65</v>
      </c>
      <c r="L43" s="200"/>
      <c r="M43" s="200">
        <v>11382.68</v>
      </c>
      <c r="N43" s="120">
        <f t="shared" si="5"/>
        <v>21673.33</v>
      </c>
      <c r="O43" s="18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</row>
    <row r="44" spans="1:62" s="146" customFormat="1" ht="23.25">
      <c r="A44" s="148"/>
      <c r="B44" s="154" t="s">
        <v>152</v>
      </c>
      <c r="C44" s="154"/>
      <c r="D44" s="154"/>
      <c r="E44" s="154"/>
      <c r="F44" s="155"/>
      <c r="G44" s="152" t="s">
        <v>153</v>
      </c>
      <c r="H44" s="120">
        <v>999165</v>
      </c>
      <c r="I44" s="200"/>
      <c r="J44" s="200"/>
      <c r="K44" s="200"/>
      <c r="L44" s="200"/>
      <c r="M44" s="200">
        <v>479901</v>
      </c>
      <c r="N44" s="120">
        <f t="shared" si="5"/>
        <v>479901</v>
      </c>
      <c r="O44" s="18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</row>
    <row r="45" spans="1:62" s="146" customFormat="1" ht="23.25">
      <c r="A45" s="148"/>
      <c r="B45" s="154" t="s">
        <v>154</v>
      </c>
      <c r="C45" s="154"/>
      <c r="D45" s="154"/>
      <c r="E45" s="154"/>
      <c r="F45" s="155"/>
      <c r="G45" s="152" t="s">
        <v>155</v>
      </c>
      <c r="H45" s="120">
        <f>+'[2]หมายเหตุประกอบ 1'!H42</f>
        <v>0</v>
      </c>
      <c r="I45" s="200"/>
      <c r="J45" s="200"/>
      <c r="K45" s="200"/>
      <c r="L45" s="200"/>
      <c r="M45" s="200"/>
      <c r="N45" s="120">
        <f t="shared" si="5"/>
        <v>0</v>
      </c>
      <c r="O45" s="18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</row>
    <row r="46" spans="1:62" s="146" customFormat="1" ht="23.25">
      <c r="A46" s="173"/>
      <c r="B46" s="174" t="s">
        <v>124</v>
      </c>
      <c r="C46" s="174"/>
      <c r="D46" s="174"/>
      <c r="E46" s="174"/>
      <c r="F46" s="175"/>
      <c r="G46" s="176" t="s">
        <v>169</v>
      </c>
      <c r="H46" s="167">
        <v>100</v>
      </c>
      <c r="I46" s="204"/>
      <c r="J46" s="204"/>
      <c r="K46" s="204"/>
      <c r="L46" s="204">
        <v>925.38</v>
      </c>
      <c r="M46" s="204">
        <v>141.62</v>
      </c>
      <c r="N46" s="120">
        <f t="shared" si="5"/>
        <v>1067</v>
      </c>
      <c r="O46" s="18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</row>
    <row r="47" spans="1:48" s="159" customFormat="1" ht="23.25">
      <c r="A47" s="261" t="s">
        <v>108</v>
      </c>
      <c r="B47" s="262"/>
      <c r="C47" s="262"/>
      <c r="D47" s="262"/>
      <c r="E47" s="262"/>
      <c r="F47" s="263"/>
      <c r="G47" s="177"/>
      <c r="H47" s="122">
        <f aca="true" t="shared" si="6" ref="H47:N47">SUM(H37:H46)</f>
        <v>9841160</v>
      </c>
      <c r="I47" s="201">
        <f t="shared" si="6"/>
        <v>1122229.28</v>
      </c>
      <c r="J47" s="201">
        <f t="shared" si="6"/>
        <v>448042.19</v>
      </c>
      <c r="K47" s="201">
        <f t="shared" si="6"/>
        <v>1274948.6</v>
      </c>
      <c r="L47" s="201">
        <f t="shared" si="6"/>
        <v>495938.51</v>
      </c>
      <c r="M47" s="201">
        <f t="shared" si="6"/>
        <v>929144.62</v>
      </c>
      <c r="N47" s="122">
        <f t="shared" si="6"/>
        <v>4270303.2</v>
      </c>
      <c r="O47" s="187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</row>
    <row r="48" spans="1:48" s="129" customFormat="1" ht="23.25" customHeight="1">
      <c r="A48" s="257"/>
      <c r="B48" s="257"/>
      <c r="C48" s="257"/>
      <c r="D48" s="257"/>
      <c r="E48" s="257"/>
      <c r="F48" s="257"/>
      <c r="G48" s="258" t="s">
        <v>96</v>
      </c>
      <c r="H48" s="118" t="s">
        <v>7</v>
      </c>
      <c r="I48" s="259">
        <v>238414</v>
      </c>
      <c r="J48" s="259">
        <v>238445</v>
      </c>
      <c r="K48" s="259">
        <v>238475</v>
      </c>
      <c r="L48" s="259">
        <v>238506</v>
      </c>
      <c r="M48" s="259">
        <v>238537</v>
      </c>
      <c r="N48" s="260" t="s">
        <v>97</v>
      </c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</row>
    <row r="49" spans="1:48" s="129" customFormat="1" ht="23.25" customHeight="1">
      <c r="A49" s="257"/>
      <c r="B49" s="257"/>
      <c r="C49" s="257"/>
      <c r="D49" s="257"/>
      <c r="E49" s="257"/>
      <c r="F49" s="257"/>
      <c r="G49" s="258"/>
      <c r="H49" s="196" t="s">
        <v>172</v>
      </c>
      <c r="I49" s="259"/>
      <c r="J49" s="259"/>
      <c r="K49" s="259"/>
      <c r="L49" s="259"/>
      <c r="M49" s="259"/>
      <c r="N49" s="260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</row>
    <row r="50" spans="1:48" s="131" customFormat="1" ht="23.25">
      <c r="A50" s="170" t="s">
        <v>156</v>
      </c>
      <c r="B50" s="138"/>
      <c r="C50" s="138"/>
      <c r="D50" s="138"/>
      <c r="E50" s="138"/>
      <c r="F50" s="139"/>
      <c r="G50" s="140"/>
      <c r="H50" s="118"/>
      <c r="I50" s="198"/>
      <c r="J50" s="198"/>
      <c r="K50" s="198"/>
      <c r="L50" s="198"/>
      <c r="M50" s="198"/>
      <c r="N50" s="185"/>
      <c r="O50" s="187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</row>
    <row r="51" spans="1:48" s="131" customFormat="1" ht="23.25">
      <c r="A51" s="136"/>
      <c r="B51" s="137" t="s">
        <v>157</v>
      </c>
      <c r="C51" s="138"/>
      <c r="D51" s="138"/>
      <c r="E51" s="138"/>
      <c r="F51" s="139"/>
      <c r="G51" s="140"/>
      <c r="H51" s="119"/>
      <c r="I51" s="199"/>
      <c r="J51" s="199"/>
      <c r="K51" s="199"/>
      <c r="L51" s="199"/>
      <c r="M51" s="199"/>
      <c r="N51" s="167"/>
      <c r="O51" s="187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</row>
    <row r="52" spans="1:62" s="146" customFormat="1" ht="23.25">
      <c r="A52" s="217"/>
      <c r="B52" s="146" t="s">
        <v>158</v>
      </c>
      <c r="F52" s="218"/>
      <c r="G52" s="219" t="s">
        <v>159</v>
      </c>
      <c r="H52" s="120">
        <v>7154000</v>
      </c>
      <c r="I52" s="200"/>
      <c r="J52" s="200"/>
      <c r="K52" s="200">
        <v>2412109</v>
      </c>
      <c r="L52" s="200"/>
      <c r="M52" s="200"/>
      <c r="N52" s="120">
        <f>SUM(I52:M52)</f>
        <v>2412109</v>
      </c>
      <c r="O52" s="18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</row>
    <row r="53" spans="1:48" s="159" customFormat="1" ht="23.25">
      <c r="A53" s="261" t="s">
        <v>108</v>
      </c>
      <c r="B53" s="262"/>
      <c r="C53" s="262"/>
      <c r="D53" s="262"/>
      <c r="E53" s="262"/>
      <c r="F53" s="263"/>
      <c r="G53" s="177"/>
      <c r="H53" s="178">
        <f>SUM(H52)</f>
        <v>7154000</v>
      </c>
      <c r="I53" s="205">
        <f aca="true" t="shared" si="7" ref="I53:N53">SUM(I52)</f>
        <v>0</v>
      </c>
      <c r="J53" s="205">
        <f t="shared" si="7"/>
        <v>0</v>
      </c>
      <c r="K53" s="205">
        <f t="shared" si="7"/>
        <v>2412109</v>
      </c>
      <c r="L53" s="205">
        <f t="shared" si="7"/>
        <v>0</v>
      </c>
      <c r="M53" s="205">
        <f t="shared" si="7"/>
        <v>0</v>
      </c>
      <c r="N53" s="178">
        <f t="shared" si="7"/>
        <v>2412109</v>
      </c>
      <c r="O53" s="187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</row>
    <row r="54" spans="1:48" s="159" customFormat="1" ht="31.5" customHeight="1" thickBot="1">
      <c r="A54" s="183"/>
      <c r="B54" s="269" t="s">
        <v>167</v>
      </c>
      <c r="C54" s="269"/>
      <c r="D54" s="269"/>
      <c r="E54" s="269"/>
      <c r="F54" s="270"/>
      <c r="G54" s="184"/>
      <c r="H54" s="127">
        <f aca="true" t="shared" si="8" ref="H54:N54">H13+H22+H29+H34+H47+H53</f>
        <v>17667500</v>
      </c>
      <c r="I54" s="206">
        <f t="shared" si="8"/>
        <v>1125559.28</v>
      </c>
      <c r="J54" s="206">
        <f t="shared" si="8"/>
        <v>454238.15</v>
      </c>
      <c r="K54" s="206">
        <f t="shared" si="8"/>
        <v>3713456.41</v>
      </c>
      <c r="L54" s="206">
        <f t="shared" si="8"/>
        <v>597469.91</v>
      </c>
      <c r="M54" s="206">
        <f t="shared" si="8"/>
        <v>1071063.48</v>
      </c>
      <c r="N54" s="127">
        <f t="shared" si="8"/>
        <v>6961787.23</v>
      </c>
      <c r="O54" s="195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</row>
    <row r="55" spans="1:48" s="131" customFormat="1" ht="24" thickTop="1">
      <c r="A55" s="170" t="s">
        <v>160</v>
      </c>
      <c r="B55" s="138"/>
      <c r="C55" s="138"/>
      <c r="D55" s="138"/>
      <c r="E55" s="138"/>
      <c r="F55" s="139"/>
      <c r="G55" s="140"/>
      <c r="H55" s="119"/>
      <c r="I55" s="199"/>
      <c r="J55" s="199"/>
      <c r="K55" s="199"/>
      <c r="L55" s="199"/>
      <c r="M55" s="199"/>
      <c r="N55" s="186"/>
      <c r="O55" s="187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</row>
    <row r="56" spans="1:48" s="131" customFormat="1" ht="24" customHeight="1">
      <c r="A56" s="136"/>
      <c r="B56" s="137" t="s">
        <v>161</v>
      </c>
      <c r="C56" s="138"/>
      <c r="D56" s="138"/>
      <c r="E56" s="138"/>
      <c r="F56" s="139"/>
      <c r="G56" s="140"/>
      <c r="H56" s="119"/>
      <c r="I56" s="199"/>
      <c r="J56" s="199"/>
      <c r="K56" s="199"/>
      <c r="L56" s="199"/>
      <c r="M56" s="199"/>
      <c r="N56" s="167"/>
      <c r="O56" s="187"/>
      <c r="P56" s="171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</row>
    <row r="57" spans="1:17" ht="23.25">
      <c r="A57" s="141"/>
      <c r="B57" s="172" t="s">
        <v>94</v>
      </c>
      <c r="C57" s="168"/>
      <c r="D57" s="168"/>
      <c r="E57" s="168"/>
      <c r="F57" s="169"/>
      <c r="G57" s="145"/>
      <c r="H57" s="120"/>
      <c r="I57" s="200"/>
      <c r="J57" s="200"/>
      <c r="K57" s="200">
        <v>50676</v>
      </c>
      <c r="L57" s="200"/>
      <c r="M57" s="200"/>
      <c r="N57" s="120">
        <f>SUM(I57:M57)</f>
        <v>50676</v>
      </c>
      <c r="O57" s="187"/>
      <c r="Q57" s="146" t="s">
        <v>12</v>
      </c>
    </row>
    <row r="58" spans="1:15" ht="23.25">
      <c r="A58" s="173"/>
      <c r="B58" s="161" t="s">
        <v>162</v>
      </c>
      <c r="C58" s="174"/>
      <c r="D58" s="174"/>
      <c r="E58" s="174"/>
      <c r="F58" s="175"/>
      <c r="G58" s="176"/>
      <c r="H58" s="121"/>
      <c r="I58" s="207"/>
      <c r="J58" s="207"/>
      <c r="K58" s="207"/>
      <c r="L58" s="207"/>
      <c r="M58" s="207"/>
      <c r="N58" s="121"/>
      <c r="O58" s="187"/>
    </row>
    <row r="59" spans="1:15" ht="23.25">
      <c r="A59" s="141"/>
      <c r="B59" s="172" t="s">
        <v>95</v>
      </c>
      <c r="C59" s="168"/>
      <c r="D59" s="168"/>
      <c r="E59" s="168"/>
      <c r="F59" s="169"/>
      <c r="G59" s="145"/>
      <c r="H59" s="120">
        <f>+'[2]หมายเหตุประกอบ 1'!H52</f>
        <v>0</v>
      </c>
      <c r="I59" s="200"/>
      <c r="J59" s="200">
        <v>873000</v>
      </c>
      <c r="K59" s="200"/>
      <c r="L59" s="200"/>
      <c r="M59" s="200"/>
      <c r="N59" s="120">
        <f>SUM(I59:M59)</f>
        <v>873000</v>
      </c>
      <c r="O59" s="187"/>
    </row>
    <row r="60" spans="1:48" s="159" customFormat="1" ht="23.25">
      <c r="A60" s="261" t="s">
        <v>170</v>
      </c>
      <c r="B60" s="262"/>
      <c r="C60" s="262"/>
      <c r="D60" s="262"/>
      <c r="E60" s="262"/>
      <c r="F60" s="263"/>
      <c r="G60" s="177"/>
      <c r="H60" s="122">
        <f>SUM(H57:H59)</f>
        <v>0</v>
      </c>
      <c r="I60" s="201">
        <f aca="true" t="shared" si="9" ref="I60:N60">SUM(I57:I59)</f>
        <v>0</v>
      </c>
      <c r="J60" s="201">
        <f t="shared" si="9"/>
        <v>873000</v>
      </c>
      <c r="K60" s="201">
        <f t="shared" si="9"/>
        <v>50676</v>
      </c>
      <c r="L60" s="201">
        <f t="shared" si="9"/>
        <v>0</v>
      </c>
      <c r="M60" s="201">
        <f t="shared" si="9"/>
        <v>0</v>
      </c>
      <c r="N60" s="122">
        <f t="shared" si="9"/>
        <v>923676</v>
      </c>
      <c r="O60" s="187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</row>
    <row r="61" spans="1:15" ht="23.25">
      <c r="A61" s="271" t="s">
        <v>171</v>
      </c>
      <c r="B61" s="272"/>
      <c r="C61" s="272"/>
      <c r="D61" s="272"/>
      <c r="E61" s="272"/>
      <c r="F61" s="273"/>
      <c r="G61" s="188"/>
      <c r="H61" s="189">
        <v>0</v>
      </c>
      <c r="I61" s="208"/>
      <c r="J61" s="208"/>
      <c r="K61" s="208"/>
      <c r="L61" s="208"/>
      <c r="M61" s="208"/>
      <c r="N61" s="189"/>
      <c r="O61" s="187"/>
    </row>
    <row r="62" spans="1:48" s="129" customFormat="1" ht="32.25" customHeight="1" thickBot="1">
      <c r="A62" s="179"/>
      <c r="B62" s="267" t="s">
        <v>168</v>
      </c>
      <c r="C62" s="267"/>
      <c r="D62" s="267"/>
      <c r="E62" s="267"/>
      <c r="F62" s="268"/>
      <c r="G62" s="180"/>
      <c r="H62" s="127">
        <f aca="true" t="shared" si="10" ref="H62:N62">+H13+H22+H29+H34+H47+H53+H60+H61</f>
        <v>17667500</v>
      </c>
      <c r="I62" s="206">
        <f t="shared" si="10"/>
        <v>1125559.28</v>
      </c>
      <c r="J62" s="206">
        <f t="shared" si="10"/>
        <v>1327238.15</v>
      </c>
      <c r="K62" s="206">
        <f t="shared" si="10"/>
        <v>3764132.41</v>
      </c>
      <c r="L62" s="206">
        <f t="shared" si="10"/>
        <v>597469.91</v>
      </c>
      <c r="M62" s="206">
        <f t="shared" si="10"/>
        <v>1071063.48</v>
      </c>
      <c r="N62" s="127">
        <f t="shared" si="10"/>
        <v>7885463.23</v>
      </c>
      <c r="O62" s="187"/>
      <c r="P62" s="181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</row>
    <row r="63" spans="4:6" ht="24" thickTop="1">
      <c r="D63" s="124"/>
      <c r="E63" s="124"/>
      <c r="F63" s="125"/>
    </row>
    <row r="64" spans="4:6" ht="23.25">
      <c r="D64" s="124"/>
      <c r="E64" s="124"/>
      <c r="F64" s="125"/>
    </row>
    <row r="65" spans="4:6" ht="23.25">
      <c r="D65" s="124"/>
      <c r="E65" s="124"/>
      <c r="F65" s="125"/>
    </row>
    <row r="66" spans="4:6" ht="23.25">
      <c r="D66" s="124"/>
      <c r="E66" s="124"/>
      <c r="F66" s="125"/>
    </row>
  </sheetData>
  <sheetProtection/>
  <mergeCells count="37">
    <mergeCell ref="A22:F22"/>
    <mergeCell ref="J48:J49"/>
    <mergeCell ref="K48:K49"/>
    <mergeCell ref="L48:L49"/>
    <mergeCell ref="M48:M49"/>
    <mergeCell ref="N48:N49"/>
    <mergeCell ref="A47:F47"/>
    <mergeCell ref="B29:F29"/>
    <mergeCell ref="N4:N5"/>
    <mergeCell ref="A24:F25"/>
    <mergeCell ref="G24:G25"/>
    <mergeCell ref="I24:I25"/>
    <mergeCell ref="J24:J25"/>
    <mergeCell ref="K24:K25"/>
    <mergeCell ref="L24:L25"/>
    <mergeCell ref="M24:M25"/>
    <mergeCell ref="N24:N25"/>
    <mergeCell ref="L4:L5"/>
    <mergeCell ref="A61:F61"/>
    <mergeCell ref="B62:F62"/>
    <mergeCell ref="A4:F5"/>
    <mergeCell ref="G4:G5"/>
    <mergeCell ref="I4:I5"/>
    <mergeCell ref="A13:F13"/>
    <mergeCell ref="A48:F49"/>
    <mergeCell ref="G48:G49"/>
    <mergeCell ref="I48:I49"/>
    <mergeCell ref="M4:M5"/>
    <mergeCell ref="B54:F54"/>
    <mergeCell ref="A60:F60"/>
    <mergeCell ref="A34:F34"/>
    <mergeCell ref="A53:F53"/>
    <mergeCell ref="A1:N1"/>
    <mergeCell ref="A2:N2"/>
    <mergeCell ref="A3:N3"/>
    <mergeCell ref="J4:J5"/>
    <mergeCell ref="K4:K5"/>
  </mergeCells>
  <printOptions/>
  <pageMargins left="0.15748031496062992" right="0.15748031496062992" top="0.45" bottom="0.21" header="0.31496062992125984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2010-05-10T07:44:38Z</cp:lastPrinted>
  <dcterms:created xsi:type="dcterms:W3CDTF">2009-11-18T08:44:57Z</dcterms:created>
  <dcterms:modified xsi:type="dcterms:W3CDTF">2010-06-15T09:00:02Z</dcterms:modified>
  <cp:category/>
  <cp:version/>
  <cp:contentType/>
  <cp:contentStatus/>
</cp:coreProperties>
</file>